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Meu Drive\YCSA Diretoria\Financeiro\Exercício 2024\"/>
    </mc:Choice>
  </mc:AlternateContent>
  <xr:revisionPtr revIDLastSave="0" documentId="8_{E12FB054-4370-4E79-B76F-0CDBA8C5C53A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resumo" sheetId="3" r:id="rId1"/>
    <sheet name="Budget" sheetId="1" r:id="rId2"/>
    <sheet name="Mensalidades" sheetId="4" r:id="rId3"/>
    <sheet name="Sócio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45" i="1" l="1"/>
  <c r="Z144" i="1"/>
  <c r="Z128" i="1"/>
  <c r="Z131" i="1"/>
  <c r="Z126" i="1"/>
  <c r="Z127" i="1"/>
  <c r="Z132" i="1"/>
  <c r="Z111" i="1"/>
  <c r="Z116" i="1"/>
  <c r="Z110" i="1"/>
  <c r="Z52" i="1"/>
  <c r="Z76" i="1"/>
  <c r="Z59" i="1"/>
  <c r="Z56" i="1"/>
  <c r="AB55" i="1"/>
  <c r="Z49" i="1"/>
  <c r="Z106" i="1"/>
  <c r="Z82" i="1"/>
  <c r="Z69" i="1"/>
  <c r="Z77" i="1"/>
  <c r="Z19" i="1"/>
  <c r="Z23" i="1"/>
  <c r="Z32" i="1"/>
  <c r="Z14" i="1"/>
  <c r="X150" i="1"/>
  <c r="X145" i="1"/>
  <c r="X128" i="1"/>
  <c r="X131" i="1"/>
  <c r="X126" i="1"/>
  <c r="X132" i="1"/>
  <c r="X111" i="1"/>
  <c r="X116" i="1"/>
  <c r="X110" i="1"/>
  <c r="X52" i="1"/>
  <c r="X76" i="1"/>
  <c r="X56" i="1"/>
  <c r="X49" i="1"/>
  <c r="X106" i="1"/>
  <c r="X84" i="1"/>
  <c r="X77" i="1"/>
  <c r="X23" i="1"/>
  <c r="X32" i="1"/>
  <c r="V149" i="1"/>
  <c r="V145" i="1"/>
  <c r="V128" i="1"/>
  <c r="V131" i="1"/>
  <c r="V126" i="1"/>
  <c r="V111" i="1"/>
  <c r="V116" i="1"/>
  <c r="V110" i="1"/>
  <c r="V121" i="1"/>
  <c r="V53" i="1"/>
  <c r="V52" i="1"/>
  <c r="V76" i="1"/>
  <c r="V59" i="1"/>
  <c r="V56" i="1"/>
  <c r="V54" i="1"/>
  <c r="V49" i="1"/>
  <c r="V106" i="1"/>
  <c r="V82" i="1"/>
  <c r="V84" i="1"/>
  <c r="V67" i="1"/>
  <c r="V68" i="1"/>
  <c r="V69" i="1"/>
  <c r="V77" i="1"/>
  <c r="V23" i="1"/>
  <c r="F15" i="3"/>
  <c r="C15" i="3"/>
  <c r="D7" i="3"/>
  <c r="AD128" i="1"/>
  <c r="AD52" i="1"/>
  <c r="AD111" i="1"/>
  <c r="AD139" i="1"/>
  <c r="AD138" i="1" s="1"/>
  <c r="AD109" i="1"/>
  <c r="AD89" i="1"/>
  <c r="AD60" i="1"/>
  <c r="AD57" i="1"/>
  <c r="AD45" i="1" l="1"/>
  <c r="AD11" i="1"/>
  <c r="AD10" i="1"/>
  <c r="AD12" i="1" s="1"/>
  <c r="C20" i="4"/>
  <c r="D20" i="4" s="1"/>
  <c r="E20" i="4" s="1"/>
  <c r="G14" i="4"/>
  <c r="D14" i="4"/>
  <c r="E14" i="4" s="1"/>
  <c r="I13" i="4"/>
  <c r="I14" i="4" s="1"/>
  <c r="B12" i="4"/>
  <c r="D11" i="4"/>
  <c r="E11" i="4" s="1"/>
  <c r="D10" i="4"/>
  <c r="E10" i="4" s="1"/>
  <c r="G9" i="4"/>
  <c r="E9" i="4"/>
  <c r="D9" i="4"/>
  <c r="G8" i="4"/>
  <c r="D8" i="4"/>
  <c r="E8" i="4" s="1"/>
  <c r="G7" i="4"/>
  <c r="E7" i="4"/>
  <c r="D7" i="4"/>
  <c r="G6" i="4"/>
  <c r="D6" i="4"/>
  <c r="E6" i="4" s="1"/>
  <c r="G5" i="4"/>
  <c r="E5" i="4"/>
  <c r="D5" i="4"/>
  <c r="G4" i="4"/>
  <c r="G15" i="4" s="1"/>
  <c r="D4" i="4"/>
  <c r="E4" i="4" s="1"/>
  <c r="E12" i="4" s="1"/>
  <c r="E16" i="4" s="1"/>
  <c r="G3" i="4"/>
  <c r="E3" i="4"/>
  <c r="D3" i="4"/>
  <c r="D12" i="4" s="1"/>
  <c r="D16" i="4" s="1"/>
  <c r="F6" i="5"/>
  <c r="F7" i="5" s="1"/>
  <c r="F8" i="5" s="1"/>
  <c r="F9" i="5" s="1"/>
  <c r="F10" i="5" s="1"/>
  <c r="F11" i="5" s="1"/>
  <c r="F12" i="5" s="1"/>
  <c r="F13" i="5" s="1"/>
  <c r="F14" i="5" s="1"/>
  <c r="F15" i="5" s="1"/>
  <c r="F16" i="5" s="1"/>
  <c r="F17" i="5" s="1"/>
  <c r="F18" i="5" s="1"/>
  <c r="F19" i="5" s="1"/>
  <c r="F20" i="5" s="1"/>
  <c r="F21" i="5" s="1"/>
  <c r="F22" i="5" s="1"/>
  <c r="F23" i="5" s="1"/>
  <c r="F24" i="5" s="1"/>
  <c r="F25" i="5" s="1"/>
  <c r="F26" i="5" s="1"/>
  <c r="F27" i="5" s="1"/>
  <c r="F28" i="5" s="1"/>
  <c r="F29" i="5" s="1"/>
  <c r="F30" i="5" s="1"/>
  <c r="F31" i="5" s="1"/>
  <c r="F32" i="5" s="1"/>
  <c r="F33" i="5" s="1"/>
  <c r="F34" i="5" s="1"/>
  <c r="F35" i="5" s="1"/>
  <c r="F36" i="5" s="1"/>
  <c r="F37" i="5" s="1"/>
  <c r="F38" i="5" s="1"/>
  <c r="F39" i="5" s="1"/>
  <c r="F40" i="5" s="1"/>
  <c r="F41" i="5" s="1"/>
  <c r="F42" i="5" s="1"/>
  <c r="F43" i="5" s="1"/>
  <c r="F44" i="5" s="1"/>
  <c r="F45" i="5" s="1"/>
  <c r="F46" i="5" s="1"/>
  <c r="F47" i="5" s="1"/>
  <c r="F48" i="5" s="1"/>
  <c r="F49" i="5" s="1"/>
  <c r="F50" i="5" s="1"/>
  <c r="F51" i="5" s="1"/>
  <c r="F52" i="5" s="1"/>
  <c r="F53" i="5" s="1"/>
  <c r="F54" i="5" s="1"/>
  <c r="F55" i="5" s="1"/>
  <c r="F56" i="5" s="1"/>
  <c r="F57" i="5" s="1"/>
  <c r="F58" i="5" s="1"/>
  <c r="F59" i="5" s="1"/>
  <c r="F60" i="5" s="1"/>
  <c r="F61" i="5" s="1"/>
  <c r="F62" i="5" s="1"/>
  <c r="F63" i="5" s="1"/>
  <c r="F64" i="5" s="1"/>
  <c r="F65" i="5" s="1"/>
  <c r="F66" i="5" s="1"/>
  <c r="F67" i="5" s="1"/>
  <c r="F68" i="5" s="1"/>
  <c r="F69" i="5" s="1"/>
  <c r="F70" i="5" s="1"/>
  <c r="F71" i="5" s="1"/>
  <c r="F72" i="5" s="1"/>
  <c r="F73" i="5" s="1"/>
  <c r="F74" i="5" s="1"/>
  <c r="F75" i="5" s="1"/>
  <c r="F76" i="5" s="1"/>
  <c r="F77" i="5" s="1"/>
  <c r="F78" i="5" s="1"/>
  <c r="F79" i="5" s="1"/>
  <c r="F80" i="5" s="1"/>
  <c r="F81" i="5" s="1"/>
  <c r="F82" i="5" s="1"/>
  <c r="F83" i="5" s="1"/>
  <c r="F84" i="5" s="1"/>
  <c r="F85" i="5" s="1"/>
  <c r="F86" i="5" s="1"/>
  <c r="F87" i="5" s="1"/>
  <c r="F88" i="5" s="1"/>
  <c r="F89" i="5" s="1"/>
  <c r="F90" i="5" s="1"/>
  <c r="F91" i="5" s="1"/>
  <c r="F92" i="5" s="1"/>
  <c r="F93" i="5" s="1"/>
  <c r="F94" i="5" s="1"/>
  <c r="F95" i="5" s="1"/>
  <c r="F96" i="5" s="1"/>
  <c r="F97" i="5" s="1"/>
  <c r="F98" i="5" s="1"/>
  <c r="F99" i="5" s="1"/>
  <c r="F100" i="5" s="1"/>
  <c r="F101" i="5" s="1"/>
  <c r="F102" i="5" s="1"/>
  <c r="F103" i="5" s="1"/>
  <c r="F104" i="5" s="1"/>
  <c r="F105" i="5" s="1"/>
  <c r="F106" i="5" s="1"/>
  <c r="F107" i="5" s="1"/>
  <c r="F108" i="5" s="1"/>
  <c r="F109" i="5" s="1"/>
  <c r="F110" i="5" s="1"/>
  <c r="F111" i="5" s="1"/>
  <c r="F112" i="5" s="1"/>
  <c r="F113" i="5" s="1"/>
  <c r="F114" i="5" s="1"/>
  <c r="F115" i="5" s="1"/>
  <c r="F116" i="5" s="1"/>
  <c r="F117" i="5" s="1"/>
  <c r="F118" i="5" s="1"/>
  <c r="F119" i="5" s="1"/>
  <c r="F120" i="5" s="1"/>
  <c r="F121" i="5" s="1"/>
  <c r="F122" i="5" s="1"/>
  <c r="F123" i="5" s="1"/>
  <c r="F124" i="5" s="1"/>
  <c r="F125" i="5" s="1"/>
  <c r="F126" i="5" s="1"/>
  <c r="F127" i="5" s="1"/>
  <c r="F128" i="5" s="1"/>
  <c r="F129" i="5" s="1"/>
  <c r="F130" i="5" s="1"/>
  <c r="F131" i="5" s="1"/>
  <c r="F132" i="5" s="1"/>
  <c r="F133" i="5" s="1"/>
  <c r="F134" i="5" s="1"/>
  <c r="F135" i="5" s="1"/>
  <c r="F136" i="5" s="1"/>
  <c r="F137" i="5" s="1"/>
  <c r="F138" i="5" s="1"/>
  <c r="F139" i="5" s="1"/>
  <c r="F140" i="5" s="1"/>
  <c r="F141" i="5" s="1"/>
  <c r="F142" i="5" s="1"/>
  <c r="F143" i="5" s="1"/>
  <c r="F144" i="5" s="1"/>
  <c r="F145" i="5" s="1"/>
  <c r="F146" i="5" s="1"/>
  <c r="F147" i="5" s="1"/>
  <c r="F148" i="5" s="1"/>
  <c r="F149" i="5" s="1"/>
  <c r="F150" i="5" s="1"/>
  <c r="F151" i="5" s="1"/>
  <c r="F152" i="5" s="1"/>
  <c r="F153" i="5" s="1"/>
  <c r="F154" i="5" s="1"/>
  <c r="F155" i="5" s="1"/>
  <c r="F156" i="5" s="1"/>
  <c r="F157" i="5" s="1"/>
  <c r="F158" i="5" s="1"/>
  <c r="F159" i="5" s="1"/>
  <c r="F160" i="5" s="1"/>
  <c r="F161" i="5" s="1"/>
  <c r="F162" i="5" s="1"/>
  <c r="F163" i="5" s="1"/>
  <c r="F164" i="5" s="1"/>
  <c r="F165" i="5" s="1"/>
  <c r="F166" i="5" s="1"/>
  <c r="F167" i="5" s="1"/>
  <c r="F168" i="5" s="1"/>
  <c r="F169" i="5" s="1"/>
  <c r="F170" i="5" s="1"/>
  <c r="F171" i="5" s="1"/>
  <c r="F172" i="5" s="1"/>
  <c r="F173" i="5" s="1"/>
  <c r="F174" i="5" s="1"/>
  <c r="F175" i="5" s="1"/>
  <c r="F176" i="5" s="1"/>
  <c r="F177" i="5" s="1"/>
  <c r="F178" i="5" s="1"/>
  <c r="F179" i="5" s="1"/>
  <c r="F180" i="5" s="1"/>
  <c r="F181" i="5" s="1"/>
  <c r="F182" i="5" s="1"/>
  <c r="F183" i="5" s="1"/>
  <c r="F184" i="5" s="1"/>
  <c r="F185" i="5" s="1"/>
  <c r="F186" i="5" s="1"/>
  <c r="F187" i="5" s="1"/>
  <c r="F188" i="5" s="1"/>
  <c r="F189" i="5" s="1"/>
  <c r="F190" i="5" s="1"/>
  <c r="F191" i="5" s="1"/>
  <c r="F192" i="5" s="1"/>
  <c r="F193" i="5" s="1"/>
  <c r="F194" i="5" s="1"/>
  <c r="F195" i="5" s="1"/>
  <c r="F196" i="5" s="1"/>
  <c r="F197" i="5" s="1"/>
  <c r="F198" i="5" s="1"/>
  <c r="F199" i="5" s="1"/>
  <c r="F200" i="5" s="1"/>
  <c r="F201" i="5" s="1"/>
  <c r="F202" i="5" s="1"/>
  <c r="F203" i="5" s="1"/>
  <c r="F204" i="5" s="1"/>
  <c r="F205" i="5" s="1"/>
  <c r="F206" i="5" s="1"/>
  <c r="F207" i="5" s="1"/>
  <c r="F208" i="5" s="1"/>
  <c r="F209" i="5" s="1"/>
  <c r="F210" i="5" s="1"/>
  <c r="F211" i="5" s="1"/>
  <c r="F212" i="5" s="1"/>
  <c r="F213" i="5" s="1"/>
  <c r="F214" i="5" s="1"/>
  <c r="F215" i="5" s="1"/>
  <c r="F216" i="5" s="1"/>
  <c r="F217" i="5" s="1"/>
  <c r="F218" i="5" s="1"/>
  <c r="F219" i="5" s="1"/>
  <c r="F220" i="5" s="1"/>
  <c r="F221" i="5" s="1"/>
  <c r="F222" i="5" s="1"/>
  <c r="F223" i="5" s="1"/>
  <c r="F224" i="5" s="1"/>
  <c r="F225" i="5" s="1"/>
  <c r="F226" i="5" s="1"/>
  <c r="F227" i="5" s="1"/>
  <c r="F228" i="5" s="1"/>
  <c r="F229" i="5" s="1"/>
  <c r="F230" i="5" s="1"/>
  <c r="F231" i="5" s="1"/>
  <c r="F232" i="5" s="1"/>
  <c r="F233" i="5" s="1"/>
  <c r="F234" i="5" s="1"/>
  <c r="F235" i="5" s="1"/>
  <c r="F236" i="5" s="1"/>
  <c r="F237" i="5" s="1"/>
  <c r="F238" i="5" s="1"/>
  <c r="F239" i="5" s="1"/>
  <c r="F240" i="5" s="1"/>
  <c r="F241" i="5" s="1"/>
  <c r="F242" i="5" s="1"/>
  <c r="F243" i="5" s="1"/>
  <c r="F244" i="5" s="1"/>
  <c r="F245" i="5" s="1"/>
  <c r="F246" i="5" s="1"/>
  <c r="F247" i="5" s="1"/>
  <c r="F248" i="5" s="1"/>
  <c r="F249" i="5" s="1"/>
  <c r="F250" i="5" s="1"/>
  <c r="F251" i="5" s="1"/>
  <c r="F252" i="5" s="1"/>
  <c r="F253" i="5" s="1"/>
  <c r="F254" i="5" s="1"/>
  <c r="F255" i="5" s="1"/>
  <c r="F256" i="5" s="1"/>
  <c r="F257" i="5" s="1"/>
  <c r="F258" i="5" s="1"/>
  <c r="F259" i="5" s="1"/>
  <c r="F260" i="5" s="1"/>
  <c r="F261" i="5" s="1"/>
  <c r="F262" i="5" s="1"/>
  <c r="F263" i="5" s="1"/>
  <c r="F264" i="5" s="1"/>
  <c r="F265" i="5" s="1"/>
  <c r="F266" i="5" s="1"/>
  <c r="F267" i="5" s="1"/>
  <c r="F268" i="5" s="1"/>
  <c r="F269" i="5" s="1"/>
  <c r="F270" i="5" s="1"/>
  <c r="F271" i="5" s="1"/>
  <c r="F272" i="5" s="1"/>
  <c r="F273" i="5" s="1"/>
  <c r="F274" i="5" s="1"/>
  <c r="F275" i="5" s="1"/>
  <c r="F276" i="5" s="1"/>
  <c r="F277" i="5" s="1"/>
  <c r="F278" i="5" s="1"/>
  <c r="F279" i="5" s="1"/>
  <c r="F280" i="5" s="1"/>
  <c r="F281" i="5" s="1"/>
  <c r="F282" i="5" s="1"/>
  <c r="F283" i="5" s="1"/>
  <c r="F284" i="5" s="1"/>
  <c r="F285" i="5" s="1"/>
  <c r="F286" i="5" s="1"/>
  <c r="F287" i="5" s="1"/>
  <c r="F288" i="5" s="1"/>
  <c r="F289" i="5" s="1"/>
  <c r="F290" i="5" s="1"/>
  <c r="F291" i="5" s="1"/>
  <c r="F292" i="5" s="1"/>
  <c r="F293" i="5" s="1"/>
  <c r="F294" i="5" s="1"/>
  <c r="F295" i="5" s="1"/>
  <c r="F296" i="5" s="1"/>
  <c r="F297" i="5" s="1"/>
  <c r="F298" i="5" s="1"/>
  <c r="F299" i="5" s="1"/>
  <c r="F300" i="5" s="1"/>
  <c r="F301" i="5" s="1"/>
  <c r="F302" i="5" s="1"/>
  <c r="F303" i="5" s="1"/>
  <c r="F304" i="5" s="1"/>
  <c r="F305" i="5" s="1"/>
  <c r="F306" i="5" s="1"/>
  <c r="F307" i="5" s="1"/>
  <c r="F308" i="5" s="1"/>
  <c r="F309" i="5" s="1"/>
  <c r="F310" i="5" s="1"/>
  <c r="F311" i="5" s="1"/>
  <c r="F312" i="5" s="1"/>
  <c r="F313" i="5" s="1"/>
  <c r="F314" i="5" s="1"/>
  <c r="F315" i="5" s="1"/>
  <c r="F316" i="5" s="1"/>
  <c r="F317" i="5" s="1"/>
  <c r="F318" i="5" s="1"/>
  <c r="F319" i="5" s="1"/>
  <c r="F320" i="5" s="1"/>
  <c r="F321" i="5" s="1"/>
  <c r="F322" i="5" s="1"/>
  <c r="F323" i="5" s="1"/>
  <c r="F324" i="5" s="1"/>
  <c r="F3" i="5"/>
  <c r="F4" i="5" s="1"/>
  <c r="F5" i="5" s="1"/>
  <c r="F2" i="5"/>
  <c r="J128" i="1"/>
  <c r="T128" i="1"/>
  <c r="T131" i="1"/>
  <c r="T126" i="1"/>
  <c r="AD126" i="1" s="1"/>
  <c r="R134" i="1"/>
  <c r="T132" i="1"/>
  <c r="H132" i="1"/>
  <c r="F132" i="1"/>
  <c r="L111" i="1"/>
  <c r="T111" i="1"/>
  <c r="T116" i="1"/>
  <c r="AD116" i="1" s="1"/>
  <c r="F110" i="1"/>
  <c r="D110" i="1"/>
  <c r="L110" i="1"/>
  <c r="J110" i="1"/>
  <c r="N110" i="1"/>
  <c r="P110" i="1"/>
  <c r="R110" i="1"/>
  <c r="T110" i="1"/>
  <c r="AD110" i="1" s="1"/>
  <c r="F119" i="1"/>
  <c r="J52" i="1"/>
  <c r="F52" i="1"/>
  <c r="T52" i="1"/>
  <c r="T76" i="1"/>
  <c r="T59" i="1"/>
  <c r="AD59" i="1" s="1"/>
  <c r="T56" i="1"/>
  <c r="AD56" i="1" s="1"/>
  <c r="T49" i="1"/>
  <c r="AD49" i="1" s="1"/>
  <c r="T106" i="1"/>
  <c r="D82" i="1"/>
  <c r="T82" i="1"/>
  <c r="T83" i="1"/>
  <c r="T67" i="1"/>
  <c r="F68" i="1"/>
  <c r="D73" i="1"/>
  <c r="P73" i="1"/>
  <c r="T77" i="1"/>
  <c r="L77" i="1"/>
  <c r="P77" i="1"/>
  <c r="L28" i="1"/>
  <c r="H40" i="1"/>
  <c r="T23" i="1"/>
  <c r="R32" i="1"/>
  <c r="L32" i="1"/>
  <c r="J32" i="1"/>
  <c r="H32" i="1"/>
  <c r="T32" i="1"/>
  <c r="R128" i="1"/>
  <c r="R131" i="1"/>
  <c r="R126" i="1"/>
  <c r="R132" i="1"/>
  <c r="R111" i="1"/>
  <c r="R116" i="1"/>
  <c r="R52" i="1"/>
  <c r="R76" i="1"/>
  <c r="R56" i="1"/>
  <c r="R54" i="1"/>
  <c r="R49" i="1"/>
  <c r="R106" i="1"/>
  <c r="R77" i="1"/>
  <c r="R23" i="1"/>
  <c r="P128" i="1"/>
  <c r="P131" i="1"/>
  <c r="P126" i="1"/>
  <c r="P111" i="1"/>
  <c r="P116" i="1"/>
  <c r="P52" i="1"/>
  <c r="P76" i="1"/>
  <c r="P59" i="1"/>
  <c r="P56" i="1"/>
  <c r="P54" i="1"/>
  <c r="P49" i="1"/>
  <c r="P106" i="1"/>
  <c r="P84" i="1"/>
  <c r="P67" i="1"/>
  <c r="P23" i="1"/>
  <c r="P32" i="1"/>
  <c r="N145" i="1"/>
  <c r="N147" i="1"/>
  <c r="N144" i="1"/>
  <c r="N128" i="1"/>
  <c r="N131" i="1"/>
  <c r="N126" i="1"/>
  <c r="N132" i="1"/>
  <c r="N111" i="1"/>
  <c r="N116" i="1"/>
  <c r="N52" i="1"/>
  <c r="N76" i="1"/>
  <c r="N56" i="1"/>
  <c r="N49" i="1"/>
  <c r="N106" i="1"/>
  <c r="N88" i="1"/>
  <c r="N82" i="1"/>
  <c r="N67" i="1"/>
  <c r="N68" i="1"/>
  <c r="N77" i="1"/>
  <c r="N23" i="1"/>
  <c r="N24" i="1"/>
  <c r="N32" i="1"/>
  <c r="L144" i="1"/>
  <c r="L131" i="1"/>
  <c r="L134" i="1"/>
  <c r="L132" i="1"/>
  <c r="L116" i="1"/>
  <c r="L52" i="1"/>
  <c r="L56" i="1"/>
  <c r="L49" i="1"/>
  <c r="L106" i="1"/>
  <c r="L84" i="1"/>
  <c r="L83" i="1"/>
  <c r="L76" i="1"/>
  <c r="L35" i="1"/>
  <c r="L23" i="1"/>
  <c r="L10" i="1"/>
  <c r="J127" i="1"/>
  <c r="J131" i="1"/>
  <c r="J126" i="1"/>
  <c r="J134" i="1"/>
  <c r="J133" i="1"/>
  <c r="J111" i="1"/>
  <c r="J116" i="1"/>
  <c r="J76" i="1"/>
  <c r="J59" i="1"/>
  <c r="J56" i="1"/>
  <c r="J49" i="1"/>
  <c r="J106" i="1"/>
  <c r="J84" i="1"/>
  <c r="J77" i="1"/>
  <c r="J23" i="1"/>
  <c r="H144" i="1"/>
  <c r="H128" i="1"/>
  <c r="H131" i="1"/>
  <c r="H110" i="1"/>
  <c r="H126" i="1"/>
  <c r="H134" i="1"/>
  <c r="H111" i="1"/>
  <c r="H115" i="1"/>
  <c r="H116" i="1"/>
  <c r="H114" i="1"/>
  <c r="H49" i="1"/>
  <c r="H52" i="1"/>
  <c r="H76" i="1"/>
  <c r="H59" i="1"/>
  <c r="H56" i="1"/>
  <c r="H106" i="1"/>
  <c r="H82" i="1"/>
  <c r="H83" i="1"/>
  <c r="H67" i="1"/>
  <c r="H77" i="1"/>
  <c r="H23" i="1"/>
  <c r="F131" i="1"/>
  <c r="F69" i="1"/>
  <c r="F115" i="1"/>
  <c r="F53" i="1"/>
  <c r="F49" i="1"/>
  <c r="D109" i="1"/>
  <c r="F128" i="1"/>
  <c r="F126" i="1"/>
  <c r="F111" i="1"/>
  <c r="F116" i="1"/>
  <c r="F56" i="1"/>
  <c r="F106" i="1"/>
  <c r="F77" i="1"/>
  <c r="D49" i="1"/>
  <c r="D128" i="1"/>
  <c r="D131" i="1"/>
  <c r="D126" i="1"/>
  <c r="D111" i="1"/>
  <c r="D116" i="1"/>
  <c r="D52" i="1"/>
  <c r="D67" i="1"/>
  <c r="D77" i="1"/>
  <c r="F114" i="1"/>
  <c r="D114" i="1"/>
  <c r="D54" i="1"/>
  <c r="F67" i="1"/>
  <c r="AD130" i="1" l="1"/>
  <c r="AD129" i="1"/>
  <c r="AD55" i="1"/>
  <c r="AD54" i="1"/>
  <c r="AD114" i="1"/>
  <c r="AD112" i="1"/>
  <c r="AD9" i="1"/>
  <c r="D106" i="1"/>
  <c r="AB106" i="1" s="1"/>
  <c r="AD106" i="1" s="1"/>
  <c r="D69" i="1"/>
  <c r="D56" i="1" l="1"/>
  <c r="AB56" i="1" s="1"/>
  <c r="AC56" i="1" s="1"/>
  <c r="AB76" i="1"/>
  <c r="AC106" i="1"/>
  <c r="F12" i="1"/>
  <c r="G12" i="1" s="1"/>
  <c r="F23" i="1"/>
  <c r="AB23" i="1" s="1"/>
  <c r="F32" i="1"/>
  <c r="D12" i="1"/>
  <c r="C12" i="1"/>
  <c r="D32" i="1"/>
  <c r="AB151" i="1"/>
  <c r="AB150" i="1"/>
  <c r="AD150" i="1" s="1"/>
  <c r="AB149" i="1"/>
  <c r="AB147" i="1"/>
  <c r="AB146" i="1"/>
  <c r="AB145" i="1"/>
  <c r="AB144" i="1"/>
  <c r="AB143" i="1"/>
  <c r="AB140" i="1"/>
  <c r="AB139" i="1" s="1"/>
  <c r="AB137" i="1"/>
  <c r="AB136" i="1"/>
  <c r="AB135" i="1"/>
  <c r="AB134" i="1"/>
  <c r="AB133" i="1"/>
  <c r="AB132" i="1"/>
  <c r="AB131" i="1"/>
  <c r="AB130" i="1"/>
  <c r="AC130" i="1" s="1"/>
  <c r="AB129" i="1"/>
  <c r="AC129" i="1" s="1"/>
  <c r="AB128" i="1"/>
  <c r="AC128" i="1" s="1"/>
  <c r="AB127" i="1"/>
  <c r="AB126" i="1"/>
  <c r="AC126" i="1" s="1"/>
  <c r="AB123" i="1"/>
  <c r="AB122" i="1"/>
  <c r="AB121" i="1"/>
  <c r="AB120" i="1"/>
  <c r="AB119" i="1"/>
  <c r="AB118" i="1"/>
  <c r="AB117" i="1"/>
  <c r="AC117" i="1" s="1"/>
  <c r="AB116" i="1"/>
  <c r="AC116" i="1" s="1"/>
  <c r="AB115" i="1"/>
  <c r="AC115" i="1" s="1"/>
  <c r="AB114" i="1"/>
  <c r="AC114" i="1" s="1"/>
  <c r="AB113" i="1"/>
  <c r="AD113" i="1" s="1"/>
  <c r="AB112" i="1"/>
  <c r="AC112" i="1" s="1"/>
  <c r="AB111" i="1"/>
  <c r="AC111" i="1" s="1"/>
  <c r="AB110" i="1"/>
  <c r="AC110" i="1" s="1"/>
  <c r="AB109" i="1"/>
  <c r="AB105" i="1"/>
  <c r="AB104" i="1"/>
  <c r="AB103" i="1"/>
  <c r="AB102" i="1"/>
  <c r="AB100" i="1"/>
  <c r="AC100" i="1" s="1"/>
  <c r="AB99" i="1"/>
  <c r="AC99" i="1" s="1"/>
  <c r="AB98" i="1"/>
  <c r="AC98" i="1" s="1"/>
  <c r="AB97" i="1"/>
  <c r="AC97" i="1" s="1"/>
  <c r="AB96" i="1"/>
  <c r="AC96" i="1" s="1"/>
  <c r="AB95" i="1"/>
  <c r="AB94" i="1"/>
  <c r="AC94" i="1" s="1"/>
  <c r="AB93" i="1"/>
  <c r="AC93" i="1" s="1"/>
  <c r="AB92" i="1"/>
  <c r="AC92" i="1" s="1"/>
  <c r="AB91" i="1"/>
  <c r="AC91" i="1" s="1"/>
  <c r="AB90" i="1"/>
  <c r="AC90" i="1" s="1"/>
  <c r="AB89" i="1"/>
  <c r="AC89" i="1" s="1"/>
  <c r="AB88" i="1"/>
  <c r="AB85" i="1"/>
  <c r="AC85" i="1" s="1"/>
  <c r="AB84" i="1"/>
  <c r="AB83" i="1"/>
  <c r="AB82" i="1"/>
  <c r="AB81" i="1"/>
  <c r="AB80" i="1"/>
  <c r="AC80" i="1" s="1"/>
  <c r="AB79" i="1"/>
  <c r="AB77" i="1"/>
  <c r="AB75" i="1"/>
  <c r="AB74" i="1"/>
  <c r="AB73" i="1"/>
  <c r="AB72" i="1"/>
  <c r="AB70" i="1"/>
  <c r="AB69" i="1"/>
  <c r="AB68" i="1"/>
  <c r="AB67" i="1"/>
  <c r="AB66" i="1"/>
  <c r="AB65" i="1"/>
  <c r="AB64" i="1"/>
  <c r="AD64" i="1" s="1"/>
  <c r="AB62" i="1"/>
  <c r="AB60" i="1"/>
  <c r="AC60" i="1" s="1"/>
  <c r="AB59" i="1"/>
  <c r="AC59" i="1" s="1"/>
  <c r="AB58" i="1"/>
  <c r="AC58" i="1" s="1"/>
  <c r="AB57" i="1"/>
  <c r="AC57" i="1" s="1"/>
  <c r="AC55" i="1"/>
  <c r="AB54" i="1"/>
  <c r="AC54" i="1" s="1"/>
  <c r="AB53" i="1"/>
  <c r="AC53" i="1" s="1"/>
  <c r="AB52" i="1"/>
  <c r="AC52" i="1" s="1"/>
  <c r="AB51" i="1"/>
  <c r="AB50" i="1"/>
  <c r="AB49" i="1"/>
  <c r="AC49" i="1" s="1"/>
  <c r="AB45" i="1"/>
  <c r="AC45" i="1" s="1"/>
  <c r="AB44" i="1"/>
  <c r="AD44" i="1" s="1"/>
  <c r="AD41" i="1" s="1"/>
  <c r="AB43" i="1"/>
  <c r="AC43" i="1" s="1"/>
  <c r="AB42" i="1"/>
  <c r="AB40" i="1"/>
  <c r="AB39" i="1"/>
  <c r="AD39" i="1" s="1"/>
  <c r="AB38" i="1"/>
  <c r="AB37" i="1"/>
  <c r="AD37" i="1" s="1"/>
  <c r="AB36" i="1"/>
  <c r="AB35" i="1"/>
  <c r="AB31" i="1"/>
  <c r="AC31" i="1" s="1"/>
  <c r="AB30" i="1"/>
  <c r="AC30" i="1" s="1"/>
  <c r="AB28" i="1"/>
  <c r="AB26" i="1"/>
  <c r="AB25" i="1"/>
  <c r="AB24" i="1"/>
  <c r="AB21" i="1"/>
  <c r="AB20" i="1"/>
  <c r="AB19" i="1"/>
  <c r="AB18" i="1"/>
  <c r="AB17" i="1"/>
  <c r="AB16" i="1"/>
  <c r="AB15" i="1"/>
  <c r="AB14" i="1"/>
  <c r="AB11" i="1"/>
  <c r="AC11" i="1" s="1"/>
  <c r="AB10" i="1"/>
  <c r="AC10" i="1" s="1"/>
  <c r="AA151" i="1"/>
  <c r="AA150" i="1"/>
  <c r="AA149" i="1"/>
  <c r="Z148" i="1"/>
  <c r="AA148" i="1" s="1"/>
  <c r="AA147" i="1"/>
  <c r="AA146" i="1"/>
  <c r="AA145" i="1"/>
  <c r="AA144" i="1"/>
  <c r="AA143" i="1"/>
  <c r="Z142" i="1"/>
  <c r="Z141" i="1" s="1"/>
  <c r="AA141" i="1" s="1"/>
  <c r="Z139" i="1"/>
  <c r="Z138" i="1" s="1"/>
  <c r="AA138" i="1" s="1"/>
  <c r="AA137" i="1"/>
  <c r="AA136" i="1"/>
  <c r="AA135" i="1"/>
  <c r="AA134" i="1"/>
  <c r="AA133" i="1"/>
  <c r="AA132" i="1"/>
  <c r="AA131" i="1"/>
  <c r="AA130" i="1"/>
  <c r="AA129" i="1"/>
  <c r="AA128" i="1"/>
  <c r="AA127" i="1"/>
  <c r="AA126" i="1"/>
  <c r="Z125" i="1"/>
  <c r="Z124" i="1" s="1"/>
  <c r="AA124" i="1" s="1"/>
  <c r="AA123" i="1"/>
  <c r="AA122" i="1"/>
  <c r="AA121" i="1"/>
  <c r="AA120" i="1"/>
  <c r="AA119" i="1"/>
  <c r="AA118" i="1"/>
  <c r="AA117" i="1"/>
  <c r="AA116" i="1"/>
  <c r="AA114" i="1"/>
  <c r="AA113" i="1"/>
  <c r="AA112" i="1"/>
  <c r="AA111" i="1"/>
  <c r="AA110" i="1"/>
  <c r="AA109" i="1"/>
  <c r="Z108" i="1"/>
  <c r="Z107" i="1" s="1"/>
  <c r="AA107" i="1" s="1"/>
  <c r="AA106" i="1"/>
  <c r="AA105" i="1"/>
  <c r="AA104" i="1"/>
  <c r="AA103" i="1"/>
  <c r="AA102" i="1"/>
  <c r="Z101" i="1"/>
  <c r="AA101" i="1" s="1"/>
  <c r="AA100" i="1"/>
  <c r="AA99" i="1"/>
  <c r="AA98" i="1"/>
  <c r="AA97" i="1"/>
  <c r="AA96" i="1"/>
  <c r="AA95" i="1"/>
  <c r="AA94" i="1"/>
  <c r="AA93" i="1"/>
  <c r="AA92" i="1"/>
  <c r="AA91" i="1"/>
  <c r="AA90" i="1"/>
  <c r="AA89" i="1"/>
  <c r="AA88" i="1"/>
  <c r="Z87" i="1"/>
  <c r="Z86" i="1" s="1"/>
  <c r="AA86" i="1" s="1"/>
  <c r="AA85" i="1"/>
  <c r="AA84" i="1"/>
  <c r="AA83" i="1"/>
  <c r="AA82" i="1"/>
  <c r="AA81" i="1"/>
  <c r="AA80" i="1"/>
  <c r="AA79" i="1"/>
  <c r="Z78" i="1"/>
  <c r="AA78" i="1" s="1"/>
  <c r="AA77" i="1"/>
  <c r="AA76" i="1"/>
  <c r="AA74" i="1"/>
  <c r="AA73" i="1"/>
  <c r="AA72" i="1"/>
  <c r="Z71" i="1"/>
  <c r="AA71" i="1" s="1"/>
  <c r="AA70" i="1"/>
  <c r="AA69" i="1"/>
  <c r="AA68" i="1"/>
  <c r="AA67" i="1"/>
  <c r="AA66" i="1"/>
  <c r="AA65" i="1"/>
  <c r="AA64" i="1"/>
  <c r="AA63" i="1"/>
  <c r="Z63" i="1"/>
  <c r="AA62" i="1"/>
  <c r="Z61" i="1"/>
  <c r="AA61" i="1" s="1"/>
  <c r="AA60" i="1"/>
  <c r="AA59" i="1"/>
  <c r="AA58" i="1"/>
  <c r="AA57" i="1"/>
  <c r="AA56" i="1"/>
  <c r="AA55" i="1"/>
  <c r="AA54" i="1"/>
  <c r="AA53" i="1"/>
  <c r="AA52" i="1"/>
  <c r="AA51" i="1"/>
  <c r="AA49" i="1"/>
  <c r="Z48" i="1"/>
  <c r="AA45" i="1"/>
  <c r="AA44" i="1"/>
  <c r="AA43" i="1"/>
  <c r="Z41" i="1"/>
  <c r="AA41" i="1" s="1"/>
  <c r="AA40" i="1"/>
  <c r="AA38" i="1"/>
  <c r="AA36" i="1"/>
  <c r="AA35" i="1"/>
  <c r="Z34" i="1"/>
  <c r="AA34" i="1" s="1"/>
  <c r="AA32" i="1"/>
  <c r="AA31" i="1"/>
  <c r="AA30" i="1"/>
  <c r="Z29" i="1"/>
  <c r="AA29" i="1" s="1"/>
  <c r="AA28" i="1"/>
  <c r="Z27" i="1"/>
  <c r="AA27" i="1" s="1"/>
  <c r="AA26" i="1"/>
  <c r="AA25" i="1"/>
  <c r="AA24" i="1"/>
  <c r="AA23" i="1"/>
  <c r="Z22" i="1"/>
  <c r="AA22" i="1" s="1"/>
  <c r="AA21" i="1"/>
  <c r="AA20" i="1"/>
  <c r="AA18" i="1"/>
  <c r="AA17" i="1"/>
  <c r="AA16" i="1"/>
  <c r="AA15" i="1"/>
  <c r="AA14" i="1"/>
  <c r="Z13" i="1"/>
  <c r="AA13" i="1" s="1"/>
  <c r="Z12" i="1"/>
  <c r="AA12" i="1" s="1"/>
  <c r="AA11" i="1"/>
  <c r="AA10" i="1"/>
  <c r="Y151" i="1"/>
  <c r="Y150" i="1"/>
  <c r="Y149" i="1"/>
  <c r="X148" i="1"/>
  <c r="Y148" i="1" s="1"/>
  <c r="Y147" i="1"/>
  <c r="Y146" i="1"/>
  <c r="Y145" i="1"/>
  <c r="Y144" i="1"/>
  <c r="Y143" i="1"/>
  <c r="X142" i="1"/>
  <c r="X141" i="1" s="1"/>
  <c r="Y141" i="1" s="1"/>
  <c r="X139" i="1"/>
  <c r="X138" i="1" s="1"/>
  <c r="Y138" i="1" s="1"/>
  <c r="Y137" i="1"/>
  <c r="Y136" i="1"/>
  <c r="Y135" i="1"/>
  <c r="Y134" i="1"/>
  <c r="Y133" i="1"/>
  <c r="Y132" i="1"/>
  <c r="Y131" i="1"/>
  <c r="Y130" i="1"/>
  <c r="Y129" i="1"/>
  <c r="Y128" i="1"/>
  <c r="Y127" i="1"/>
  <c r="Y126" i="1"/>
  <c r="X125" i="1"/>
  <c r="X124" i="1" s="1"/>
  <c r="Y124" i="1" s="1"/>
  <c r="Y123" i="1"/>
  <c r="Y122" i="1"/>
  <c r="Y121" i="1"/>
  <c r="Y120" i="1"/>
  <c r="Y119" i="1"/>
  <c r="Y118" i="1"/>
  <c r="Y117" i="1"/>
  <c r="Y116" i="1"/>
  <c r="Y114" i="1"/>
  <c r="Y113" i="1"/>
  <c r="Y112" i="1"/>
  <c r="Y111" i="1"/>
  <c r="Y110" i="1"/>
  <c r="Y109" i="1"/>
  <c r="X108" i="1"/>
  <c r="Y108" i="1" s="1"/>
  <c r="Y106" i="1"/>
  <c r="Y105" i="1"/>
  <c r="Y104" i="1"/>
  <c r="Y103" i="1"/>
  <c r="Y102" i="1"/>
  <c r="X101" i="1"/>
  <c r="Y101" i="1" s="1"/>
  <c r="Y100" i="1"/>
  <c r="Y99" i="1"/>
  <c r="Y98" i="1"/>
  <c r="Y97" i="1"/>
  <c r="Y96" i="1"/>
  <c r="Y95" i="1"/>
  <c r="Y94" i="1"/>
  <c r="Y93" i="1"/>
  <c r="Y92" i="1"/>
  <c r="Y91" i="1"/>
  <c r="Y90" i="1"/>
  <c r="Y89" i="1"/>
  <c r="Y88" i="1"/>
  <c r="X87" i="1"/>
  <c r="Y87" i="1" s="1"/>
  <c r="Y85" i="1"/>
  <c r="Y84" i="1"/>
  <c r="Y83" i="1"/>
  <c r="Y82" i="1"/>
  <c r="Y81" i="1"/>
  <c r="Y80" i="1"/>
  <c r="Y79" i="1"/>
  <c r="X78" i="1"/>
  <c r="Y78" i="1" s="1"/>
  <c r="Y77" i="1"/>
  <c r="Y76" i="1"/>
  <c r="Y74" i="1"/>
  <c r="Y73" i="1"/>
  <c r="Y72" i="1"/>
  <c r="X71" i="1"/>
  <c r="Y71" i="1" s="1"/>
  <c r="Y70" i="1"/>
  <c r="Y69" i="1"/>
  <c r="Y68" i="1"/>
  <c r="Y67" i="1"/>
  <c r="Y66" i="1"/>
  <c r="Y65" i="1"/>
  <c r="Y64" i="1"/>
  <c r="X63" i="1"/>
  <c r="Y63" i="1" s="1"/>
  <c r="Y62" i="1"/>
  <c r="X61" i="1"/>
  <c r="Y61" i="1" s="1"/>
  <c r="Y60" i="1"/>
  <c r="Y59" i="1"/>
  <c r="Y58" i="1"/>
  <c r="Y57" i="1"/>
  <c r="Y56" i="1"/>
  <c r="Y55" i="1"/>
  <c r="Y54" i="1"/>
  <c r="Y53" i="1"/>
  <c r="Y52" i="1"/>
  <c r="Y51" i="1"/>
  <c r="Y49" i="1"/>
  <c r="X48" i="1"/>
  <c r="Y48" i="1" s="1"/>
  <c r="Y45" i="1"/>
  <c r="Y44" i="1"/>
  <c r="Y43" i="1"/>
  <c r="X41" i="1"/>
  <c r="Y41" i="1" s="1"/>
  <c r="Y40" i="1"/>
  <c r="Y38" i="1"/>
  <c r="Y36" i="1"/>
  <c r="Y35" i="1"/>
  <c r="X34" i="1"/>
  <c r="Y34" i="1" s="1"/>
  <c r="Y32" i="1"/>
  <c r="Y31" i="1"/>
  <c r="Y30" i="1"/>
  <c r="X29" i="1"/>
  <c r="Y29" i="1" s="1"/>
  <c r="Y28" i="1"/>
  <c r="X27" i="1"/>
  <c r="Y27" i="1" s="1"/>
  <c r="Y26" i="1"/>
  <c r="Y25" i="1"/>
  <c r="Y24" i="1"/>
  <c r="Y23" i="1"/>
  <c r="X22" i="1"/>
  <c r="Y22" i="1" s="1"/>
  <c r="Y21" i="1"/>
  <c r="Y20" i="1"/>
  <c r="Y18" i="1"/>
  <c r="Y17" i="1"/>
  <c r="Y16" i="1"/>
  <c r="Y15" i="1"/>
  <c r="Y14" i="1"/>
  <c r="X13" i="1"/>
  <c r="Y13" i="1" s="1"/>
  <c r="X12" i="1"/>
  <c r="Y12" i="1" s="1"/>
  <c r="Y11" i="1"/>
  <c r="Y10" i="1"/>
  <c r="W151" i="1"/>
  <c r="W150" i="1"/>
  <c r="W149" i="1"/>
  <c r="V148" i="1"/>
  <c r="W148" i="1" s="1"/>
  <c r="W147" i="1"/>
  <c r="W146" i="1"/>
  <c r="W145" i="1"/>
  <c r="W144" i="1"/>
  <c r="W143" i="1"/>
  <c r="V142" i="1"/>
  <c r="V141" i="1" s="1"/>
  <c r="W141" i="1" s="1"/>
  <c r="V139" i="1"/>
  <c r="W139" i="1" s="1"/>
  <c r="W137" i="1"/>
  <c r="W136" i="1"/>
  <c r="W135" i="1"/>
  <c r="W134" i="1"/>
  <c r="W133" i="1"/>
  <c r="W132" i="1"/>
  <c r="W131" i="1"/>
  <c r="W130" i="1"/>
  <c r="W129" i="1"/>
  <c r="W128" i="1"/>
  <c r="W127" i="1"/>
  <c r="W126" i="1"/>
  <c r="V125" i="1"/>
  <c r="W125" i="1" s="1"/>
  <c r="W123" i="1"/>
  <c r="W122" i="1"/>
  <c r="W121" i="1"/>
  <c r="W120" i="1"/>
  <c r="W119" i="1"/>
  <c r="W118" i="1"/>
  <c r="W117" i="1"/>
  <c r="W116" i="1"/>
  <c r="W114" i="1"/>
  <c r="W113" i="1"/>
  <c r="W112" i="1"/>
  <c r="W111" i="1"/>
  <c r="W110" i="1"/>
  <c r="W109" i="1"/>
  <c r="V108" i="1"/>
  <c r="W108" i="1" s="1"/>
  <c r="W106" i="1"/>
  <c r="W105" i="1"/>
  <c r="W104" i="1"/>
  <c r="W103" i="1"/>
  <c r="W102" i="1"/>
  <c r="V101" i="1"/>
  <c r="W101" i="1" s="1"/>
  <c r="W100" i="1"/>
  <c r="W99" i="1"/>
  <c r="W98" i="1"/>
  <c r="W97" i="1"/>
  <c r="W96" i="1"/>
  <c r="W95" i="1"/>
  <c r="W94" i="1"/>
  <c r="W93" i="1"/>
  <c r="W92" i="1"/>
  <c r="W91" i="1"/>
  <c r="W90" i="1"/>
  <c r="W89" i="1"/>
  <c r="W88" i="1"/>
  <c r="V87" i="1"/>
  <c r="V86" i="1" s="1"/>
  <c r="W86" i="1" s="1"/>
  <c r="W85" i="1"/>
  <c r="W84" i="1"/>
  <c r="W83" i="1"/>
  <c r="W82" i="1"/>
  <c r="W81" i="1"/>
  <c r="W80" i="1"/>
  <c r="W79" i="1"/>
  <c r="V78" i="1"/>
  <c r="W78" i="1" s="1"/>
  <c r="W77" i="1"/>
  <c r="W76" i="1"/>
  <c r="W74" i="1"/>
  <c r="W73" i="1"/>
  <c r="W72" i="1"/>
  <c r="V71" i="1"/>
  <c r="W71" i="1" s="1"/>
  <c r="W70" i="1"/>
  <c r="W69" i="1"/>
  <c r="W68" i="1"/>
  <c r="W67" i="1"/>
  <c r="W66" i="1"/>
  <c r="W65" i="1"/>
  <c r="W64" i="1"/>
  <c r="V63" i="1"/>
  <c r="W63" i="1" s="1"/>
  <c r="W62" i="1"/>
  <c r="V61" i="1"/>
  <c r="W61" i="1" s="1"/>
  <c r="W60" i="1"/>
  <c r="W59" i="1"/>
  <c r="W58" i="1"/>
  <c r="W57" i="1"/>
  <c r="W56" i="1"/>
  <c r="W55" i="1"/>
  <c r="W54" i="1"/>
  <c r="W53" i="1"/>
  <c r="W52" i="1"/>
  <c r="W51" i="1"/>
  <c r="W49" i="1"/>
  <c r="V48" i="1"/>
  <c r="W48" i="1" s="1"/>
  <c r="W45" i="1"/>
  <c r="W44" i="1"/>
  <c r="W43" i="1"/>
  <c r="V41" i="1"/>
  <c r="W41" i="1" s="1"/>
  <c r="W40" i="1"/>
  <c r="W38" i="1"/>
  <c r="W36" i="1"/>
  <c r="W35" i="1"/>
  <c r="V34" i="1"/>
  <c r="W34" i="1" s="1"/>
  <c r="W32" i="1"/>
  <c r="W31" i="1"/>
  <c r="W30" i="1"/>
  <c r="V29" i="1"/>
  <c r="W29" i="1" s="1"/>
  <c r="W28" i="1"/>
  <c r="V27" i="1"/>
  <c r="W27" i="1" s="1"/>
  <c r="W26" i="1"/>
  <c r="W25" i="1"/>
  <c r="W24" i="1"/>
  <c r="W23" i="1"/>
  <c r="V22" i="1"/>
  <c r="W22" i="1" s="1"/>
  <c r="W21" i="1"/>
  <c r="W20" i="1"/>
  <c r="W18" i="1"/>
  <c r="W17" i="1"/>
  <c r="W16" i="1"/>
  <c r="W15" i="1"/>
  <c r="W14" i="1"/>
  <c r="V13" i="1"/>
  <c r="W13" i="1" s="1"/>
  <c r="V12" i="1"/>
  <c r="W12" i="1" s="1"/>
  <c r="W11" i="1"/>
  <c r="W10" i="1"/>
  <c r="U151" i="1"/>
  <c r="U150" i="1"/>
  <c r="U149" i="1"/>
  <c r="T148" i="1"/>
  <c r="U148" i="1" s="1"/>
  <c r="U147" i="1"/>
  <c r="U146" i="1"/>
  <c r="U145" i="1"/>
  <c r="U144" i="1"/>
  <c r="U143" i="1"/>
  <c r="T142" i="1"/>
  <c r="T141" i="1" s="1"/>
  <c r="U141" i="1" s="1"/>
  <c r="T139" i="1"/>
  <c r="T138" i="1" s="1"/>
  <c r="U138" i="1" s="1"/>
  <c r="U137" i="1"/>
  <c r="U136" i="1"/>
  <c r="U135" i="1"/>
  <c r="U134" i="1"/>
  <c r="U133" i="1"/>
  <c r="U132" i="1"/>
  <c r="U131" i="1"/>
  <c r="U130" i="1"/>
  <c r="U129" i="1"/>
  <c r="U128" i="1"/>
  <c r="U127" i="1"/>
  <c r="U126" i="1"/>
  <c r="T125" i="1"/>
  <c r="T124" i="1" s="1"/>
  <c r="U124" i="1" s="1"/>
  <c r="U123" i="1"/>
  <c r="U122" i="1"/>
  <c r="U121" i="1"/>
  <c r="U120" i="1"/>
  <c r="U119" i="1"/>
  <c r="U118" i="1"/>
  <c r="U117" i="1"/>
  <c r="U116" i="1"/>
  <c r="U114" i="1"/>
  <c r="U113" i="1"/>
  <c r="U112" i="1"/>
  <c r="U111" i="1"/>
  <c r="U110" i="1"/>
  <c r="U109" i="1"/>
  <c r="T108" i="1"/>
  <c r="U108" i="1" s="1"/>
  <c r="U106" i="1"/>
  <c r="U105" i="1"/>
  <c r="U104" i="1"/>
  <c r="U103" i="1"/>
  <c r="U102" i="1"/>
  <c r="T101" i="1"/>
  <c r="U101" i="1" s="1"/>
  <c r="U100" i="1"/>
  <c r="U99" i="1"/>
  <c r="U98" i="1"/>
  <c r="U97" i="1"/>
  <c r="U96" i="1"/>
  <c r="U95" i="1"/>
  <c r="U94" i="1"/>
  <c r="U93" i="1"/>
  <c r="U92" i="1"/>
  <c r="U91" i="1"/>
  <c r="U90" i="1"/>
  <c r="U89" i="1"/>
  <c r="U88" i="1"/>
  <c r="T87" i="1"/>
  <c r="U87" i="1" s="1"/>
  <c r="U85" i="1"/>
  <c r="U84" i="1"/>
  <c r="U83" i="1"/>
  <c r="U82" i="1"/>
  <c r="U81" i="1"/>
  <c r="U80" i="1"/>
  <c r="U79" i="1"/>
  <c r="T78" i="1"/>
  <c r="U78" i="1" s="1"/>
  <c r="U77" i="1"/>
  <c r="U76" i="1"/>
  <c r="U74" i="1"/>
  <c r="U73" i="1"/>
  <c r="U72" i="1"/>
  <c r="T71" i="1"/>
  <c r="U71" i="1" s="1"/>
  <c r="U70" i="1"/>
  <c r="U69" i="1"/>
  <c r="U68" i="1"/>
  <c r="U67" i="1"/>
  <c r="U66" i="1"/>
  <c r="U65" i="1"/>
  <c r="U64" i="1"/>
  <c r="T63" i="1"/>
  <c r="U63" i="1" s="1"/>
  <c r="U62" i="1"/>
  <c r="T61" i="1"/>
  <c r="U61" i="1" s="1"/>
  <c r="U60" i="1"/>
  <c r="U59" i="1"/>
  <c r="U58" i="1"/>
  <c r="U57" i="1"/>
  <c r="U56" i="1"/>
  <c r="U55" i="1"/>
  <c r="U54" i="1"/>
  <c r="U53" i="1"/>
  <c r="U52" i="1"/>
  <c r="U51" i="1"/>
  <c r="U49" i="1"/>
  <c r="T48" i="1"/>
  <c r="U48" i="1" s="1"/>
  <c r="U45" i="1"/>
  <c r="U44" i="1"/>
  <c r="U43" i="1"/>
  <c r="T41" i="1"/>
  <c r="U41" i="1" s="1"/>
  <c r="U40" i="1"/>
  <c r="U38" i="1"/>
  <c r="U36" i="1"/>
  <c r="U35" i="1"/>
  <c r="T34" i="1"/>
  <c r="U34" i="1" s="1"/>
  <c r="U32" i="1"/>
  <c r="U31" i="1"/>
  <c r="U30" i="1"/>
  <c r="T29" i="1"/>
  <c r="U29" i="1" s="1"/>
  <c r="U28" i="1"/>
  <c r="T27" i="1"/>
  <c r="U27" i="1" s="1"/>
  <c r="U26" i="1"/>
  <c r="U25" i="1"/>
  <c r="U24" i="1"/>
  <c r="U23" i="1"/>
  <c r="T22" i="1"/>
  <c r="U22" i="1" s="1"/>
  <c r="U21" i="1"/>
  <c r="U20" i="1"/>
  <c r="U18" i="1"/>
  <c r="U17" i="1"/>
  <c r="U16" i="1"/>
  <c r="U15" i="1"/>
  <c r="U14" i="1"/>
  <c r="T13" i="1"/>
  <c r="U13" i="1" s="1"/>
  <c r="T12" i="1"/>
  <c r="U12" i="1" s="1"/>
  <c r="U11" i="1"/>
  <c r="U10" i="1"/>
  <c r="S151" i="1"/>
  <c r="S150" i="1"/>
  <c r="S149" i="1"/>
  <c r="R148" i="1"/>
  <c r="S148" i="1" s="1"/>
  <c r="S147" i="1"/>
  <c r="S146" i="1"/>
  <c r="S145" i="1"/>
  <c r="S144" i="1"/>
  <c r="S143" i="1"/>
  <c r="R142" i="1"/>
  <c r="R141" i="1" s="1"/>
  <c r="S141" i="1" s="1"/>
  <c r="R139" i="1"/>
  <c r="R138" i="1" s="1"/>
  <c r="S138" i="1" s="1"/>
  <c r="S137" i="1"/>
  <c r="S136" i="1"/>
  <c r="S135" i="1"/>
  <c r="S134" i="1"/>
  <c r="S133" i="1"/>
  <c r="S132" i="1"/>
  <c r="S131" i="1"/>
  <c r="S130" i="1"/>
  <c r="S129" i="1"/>
  <c r="S128" i="1"/>
  <c r="S127" i="1"/>
  <c r="S126" i="1"/>
  <c r="R125" i="1"/>
  <c r="R124" i="1" s="1"/>
  <c r="S124" i="1" s="1"/>
  <c r="S123" i="1"/>
  <c r="S122" i="1"/>
  <c r="S121" i="1"/>
  <c r="S120" i="1"/>
  <c r="S119" i="1"/>
  <c r="S118" i="1"/>
  <c r="S117" i="1"/>
  <c r="S116" i="1"/>
  <c r="S114" i="1"/>
  <c r="S113" i="1"/>
  <c r="S112" i="1"/>
  <c r="S111" i="1"/>
  <c r="S110" i="1"/>
  <c r="S109" i="1"/>
  <c r="R108" i="1"/>
  <c r="S108" i="1" s="1"/>
  <c r="S106" i="1"/>
  <c r="S105" i="1"/>
  <c r="S104" i="1"/>
  <c r="S103" i="1"/>
  <c r="S102" i="1"/>
  <c r="R101" i="1"/>
  <c r="S101" i="1" s="1"/>
  <c r="S100" i="1"/>
  <c r="S99" i="1"/>
  <c r="S98" i="1"/>
  <c r="S97" i="1"/>
  <c r="S96" i="1"/>
  <c r="S95" i="1"/>
  <c r="S94" i="1"/>
  <c r="S93" i="1"/>
  <c r="S92" i="1"/>
  <c r="S91" i="1"/>
  <c r="S90" i="1"/>
  <c r="S89" i="1"/>
  <c r="S88" i="1"/>
  <c r="R87" i="1"/>
  <c r="S87" i="1" s="1"/>
  <c r="S85" i="1"/>
  <c r="S84" i="1"/>
  <c r="S83" i="1"/>
  <c r="S82" i="1"/>
  <c r="S81" i="1"/>
  <c r="S80" i="1"/>
  <c r="S79" i="1"/>
  <c r="R78" i="1"/>
  <c r="S78" i="1" s="1"/>
  <c r="S77" i="1"/>
  <c r="S76" i="1"/>
  <c r="S74" i="1"/>
  <c r="S73" i="1"/>
  <c r="S72" i="1"/>
  <c r="R71" i="1"/>
  <c r="S71" i="1" s="1"/>
  <c r="S70" i="1"/>
  <c r="S69" i="1"/>
  <c r="S68" i="1"/>
  <c r="S67" i="1"/>
  <c r="S66" i="1"/>
  <c r="S65" i="1"/>
  <c r="S64" i="1"/>
  <c r="R63" i="1"/>
  <c r="S63" i="1" s="1"/>
  <c r="S62" i="1"/>
  <c r="R61" i="1"/>
  <c r="S61" i="1" s="1"/>
  <c r="S60" i="1"/>
  <c r="S59" i="1"/>
  <c r="S58" i="1"/>
  <c r="S57" i="1"/>
  <c r="S56" i="1"/>
  <c r="S55" i="1"/>
  <c r="S54" i="1"/>
  <c r="S53" i="1"/>
  <c r="S52" i="1"/>
  <c r="S51" i="1"/>
  <c r="S49" i="1"/>
  <c r="R48" i="1"/>
  <c r="S48" i="1" s="1"/>
  <c r="S45" i="1"/>
  <c r="S44" i="1"/>
  <c r="S43" i="1"/>
  <c r="R41" i="1"/>
  <c r="S41" i="1" s="1"/>
  <c r="S40" i="1"/>
  <c r="S38" i="1"/>
  <c r="S36" i="1"/>
  <c r="S35" i="1"/>
  <c r="R34" i="1"/>
  <c r="S34" i="1" s="1"/>
  <c r="S32" i="1"/>
  <c r="S31" i="1"/>
  <c r="S30" i="1"/>
  <c r="R29" i="1"/>
  <c r="S29" i="1" s="1"/>
  <c r="S28" i="1"/>
  <c r="R27" i="1"/>
  <c r="S27" i="1" s="1"/>
  <c r="S26" i="1"/>
  <c r="S25" i="1"/>
  <c r="S24" i="1"/>
  <c r="S23" i="1"/>
  <c r="R22" i="1"/>
  <c r="S22" i="1" s="1"/>
  <c r="S21" i="1"/>
  <c r="S20" i="1"/>
  <c r="S18" i="1"/>
  <c r="S17" i="1"/>
  <c r="S16" i="1"/>
  <c r="S15" i="1"/>
  <c r="S14" i="1"/>
  <c r="R13" i="1"/>
  <c r="S13" i="1" s="1"/>
  <c r="R12" i="1"/>
  <c r="S12" i="1" s="1"/>
  <c r="S11" i="1"/>
  <c r="S10" i="1"/>
  <c r="Q151" i="1"/>
  <c r="Q150" i="1"/>
  <c r="Q149" i="1"/>
  <c r="P148" i="1"/>
  <c r="Q148" i="1" s="1"/>
  <c r="Q147" i="1"/>
  <c r="Q146" i="1"/>
  <c r="Q145" i="1"/>
  <c r="Q144" i="1"/>
  <c r="Q143" i="1"/>
  <c r="P142" i="1"/>
  <c r="P141" i="1" s="1"/>
  <c r="Q141" i="1" s="1"/>
  <c r="P139" i="1"/>
  <c r="P138" i="1" s="1"/>
  <c r="Q138" i="1" s="1"/>
  <c r="Q137" i="1"/>
  <c r="Q136" i="1"/>
  <c r="Q135" i="1"/>
  <c r="Q134" i="1"/>
  <c r="Q133" i="1"/>
  <c r="Q132" i="1"/>
  <c r="Q131" i="1"/>
  <c r="Q130" i="1"/>
  <c r="Q129" i="1"/>
  <c r="Q128" i="1"/>
  <c r="Q127" i="1"/>
  <c r="Q126" i="1"/>
  <c r="P125" i="1"/>
  <c r="P124" i="1" s="1"/>
  <c r="Q124" i="1" s="1"/>
  <c r="Q123" i="1"/>
  <c r="Q122" i="1"/>
  <c r="Q121" i="1"/>
  <c r="Q120" i="1"/>
  <c r="Q119" i="1"/>
  <c r="Q118" i="1"/>
  <c r="Q117" i="1"/>
  <c r="Q116" i="1"/>
  <c r="Q114" i="1"/>
  <c r="Q113" i="1"/>
  <c r="Q112" i="1"/>
  <c r="Q111" i="1"/>
  <c r="Q110" i="1"/>
  <c r="Q109" i="1"/>
  <c r="P108" i="1"/>
  <c r="Q108" i="1" s="1"/>
  <c r="Q106" i="1"/>
  <c r="Q105" i="1"/>
  <c r="Q104" i="1"/>
  <c r="Q103" i="1"/>
  <c r="Q102" i="1"/>
  <c r="P101" i="1"/>
  <c r="Q101" i="1" s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P87" i="1"/>
  <c r="Q87" i="1" s="1"/>
  <c r="Q85" i="1"/>
  <c r="Q84" i="1"/>
  <c r="Q83" i="1"/>
  <c r="Q82" i="1"/>
  <c r="Q81" i="1"/>
  <c r="Q80" i="1"/>
  <c r="Q79" i="1"/>
  <c r="P78" i="1"/>
  <c r="Q78" i="1" s="1"/>
  <c r="Q77" i="1"/>
  <c r="Q76" i="1"/>
  <c r="Q74" i="1"/>
  <c r="Q73" i="1"/>
  <c r="Q72" i="1"/>
  <c r="P71" i="1"/>
  <c r="Q71" i="1" s="1"/>
  <c r="Q70" i="1"/>
  <c r="Q69" i="1"/>
  <c r="Q68" i="1"/>
  <c r="Q67" i="1"/>
  <c r="Q66" i="1"/>
  <c r="Q65" i="1"/>
  <c r="Q64" i="1"/>
  <c r="P63" i="1"/>
  <c r="Q63" i="1" s="1"/>
  <c r="Q62" i="1"/>
  <c r="P61" i="1"/>
  <c r="Q61" i="1" s="1"/>
  <c r="Q60" i="1"/>
  <c r="Q59" i="1"/>
  <c r="Q58" i="1"/>
  <c r="Q57" i="1"/>
  <c r="Q56" i="1"/>
  <c r="Q55" i="1"/>
  <c r="Q54" i="1"/>
  <c r="Q53" i="1"/>
  <c r="Q52" i="1"/>
  <c r="Q51" i="1"/>
  <c r="Q49" i="1"/>
  <c r="P48" i="1"/>
  <c r="Q48" i="1" s="1"/>
  <c r="Q45" i="1"/>
  <c r="Q44" i="1"/>
  <c r="Q43" i="1"/>
  <c r="P41" i="1"/>
  <c r="Q41" i="1" s="1"/>
  <c r="Q40" i="1"/>
  <c r="Q38" i="1"/>
  <c r="Q36" i="1"/>
  <c r="Q35" i="1"/>
  <c r="P34" i="1"/>
  <c r="Q34" i="1" s="1"/>
  <c r="Q32" i="1"/>
  <c r="Q31" i="1"/>
  <c r="Q30" i="1"/>
  <c r="P29" i="1"/>
  <c r="Q29" i="1" s="1"/>
  <c r="Q28" i="1"/>
  <c r="P27" i="1"/>
  <c r="Q27" i="1" s="1"/>
  <c r="Q26" i="1"/>
  <c r="Q25" i="1"/>
  <c r="Q24" i="1"/>
  <c r="Q23" i="1"/>
  <c r="P22" i="1"/>
  <c r="Q22" i="1" s="1"/>
  <c r="Q21" i="1"/>
  <c r="Q20" i="1"/>
  <c r="Q18" i="1"/>
  <c r="Q17" i="1"/>
  <c r="Q16" i="1"/>
  <c r="Q15" i="1"/>
  <c r="Q14" i="1"/>
  <c r="P13" i="1"/>
  <c r="Q13" i="1" s="1"/>
  <c r="P12" i="1"/>
  <c r="Q12" i="1" s="1"/>
  <c r="Q11" i="1"/>
  <c r="Q10" i="1"/>
  <c r="Q9" i="1"/>
  <c r="P9" i="1"/>
  <c r="O151" i="1"/>
  <c r="O150" i="1"/>
  <c r="O149" i="1"/>
  <c r="N148" i="1"/>
  <c r="O148" i="1" s="1"/>
  <c r="O147" i="1"/>
  <c r="O146" i="1"/>
  <c r="O145" i="1"/>
  <c r="O144" i="1"/>
  <c r="O143" i="1"/>
  <c r="N142" i="1"/>
  <c r="N141" i="1" s="1"/>
  <c r="O141" i="1" s="1"/>
  <c r="N139" i="1"/>
  <c r="N138" i="1" s="1"/>
  <c r="O138" i="1" s="1"/>
  <c r="O137" i="1"/>
  <c r="O136" i="1"/>
  <c r="O135" i="1"/>
  <c r="O134" i="1"/>
  <c r="O133" i="1"/>
  <c r="O132" i="1"/>
  <c r="O131" i="1"/>
  <c r="O130" i="1"/>
  <c r="O129" i="1"/>
  <c r="O128" i="1"/>
  <c r="O127" i="1"/>
  <c r="O126" i="1"/>
  <c r="N125" i="1"/>
  <c r="N124" i="1" s="1"/>
  <c r="O124" i="1" s="1"/>
  <c r="O123" i="1"/>
  <c r="O122" i="1"/>
  <c r="O121" i="1"/>
  <c r="O120" i="1"/>
  <c r="O119" i="1"/>
  <c r="O118" i="1"/>
  <c r="O117" i="1"/>
  <c r="O116" i="1"/>
  <c r="O114" i="1"/>
  <c r="O113" i="1"/>
  <c r="O112" i="1"/>
  <c r="O111" i="1"/>
  <c r="O110" i="1"/>
  <c r="O109" i="1"/>
  <c r="N108" i="1"/>
  <c r="O108" i="1" s="1"/>
  <c r="O106" i="1"/>
  <c r="O105" i="1"/>
  <c r="O104" i="1"/>
  <c r="O103" i="1"/>
  <c r="O102" i="1"/>
  <c r="N101" i="1"/>
  <c r="O101" i="1" s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N87" i="1"/>
  <c r="O87" i="1" s="1"/>
  <c r="O85" i="1"/>
  <c r="O84" i="1"/>
  <c r="O83" i="1"/>
  <c r="O82" i="1"/>
  <c r="O81" i="1"/>
  <c r="O80" i="1"/>
  <c r="O79" i="1"/>
  <c r="N78" i="1"/>
  <c r="O78" i="1" s="1"/>
  <c r="O77" i="1"/>
  <c r="O76" i="1"/>
  <c r="O74" i="1"/>
  <c r="O73" i="1"/>
  <c r="O72" i="1"/>
  <c r="N71" i="1"/>
  <c r="O71" i="1" s="1"/>
  <c r="O70" i="1"/>
  <c r="O69" i="1"/>
  <c r="O68" i="1"/>
  <c r="O67" i="1"/>
  <c r="O66" i="1"/>
  <c r="O65" i="1"/>
  <c r="O64" i="1"/>
  <c r="N63" i="1"/>
  <c r="O63" i="1" s="1"/>
  <c r="O62" i="1"/>
  <c r="N61" i="1"/>
  <c r="O61" i="1" s="1"/>
  <c r="O60" i="1"/>
  <c r="O59" i="1"/>
  <c r="O58" i="1"/>
  <c r="O57" i="1"/>
  <c r="O56" i="1"/>
  <c r="O55" i="1"/>
  <c r="O54" i="1"/>
  <c r="O53" i="1"/>
  <c r="O52" i="1"/>
  <c r="O51" i="1"/>
  <c r="O49" i="1"/>
  <c r="N48" i="1"/>
  <c r="O48" i="1" s="1"/>
  <c r="O45" i="1"/>
  <c r="O44" i="1"/>
  <c r="O43" i="1"/>
  <c r="N41" i="1"/>
  <c r="O41" i="1" s="1"/>
  <c r="O40" i="1"/>
  <c r="O38" i="1"/>
  <c r="O36" i="1"/>
  <c r="O35" i="1"/>
  <c r="N34" i="1"/>
  <c r="O34" i="1" s="1"/>
  <c r="O32" i="1"/>
  <c r="O31" i="1"/>
  <c r="O30" i="1"/>
  <c r="N29" i="1"/>
  <c r="O29" i="1" s="1"/>
  <c r="O28" i="1"/>
  <c r="N27" i="1"/>
  <c r="O27" i="1" s="1"/>
  <c r="O26" i="1"/>
  <c r="O25" i="1"/>
  <c r="O24" i="1"/>
  <c r="O23" i="1"/>
  <c r="N22" i="1"/>
  <c r="O22" i="1" s="1"/>
  <c r="O21" i="1"/>
  <c r="O20" i="1"/>
  <c r="O18" i="1"/>
  <c r="O17" i="1"/>
  <c r="O16" i="1"/>
  <c r="O15" i="1"/>
  <c r="O14" i="1"/>
  <c r="N13" i="1"/>
  <c r="O13" i="1" s="1"/>
  <c r="N12" i="1"/>
  <c r="O12" i="1" s="1"/>
  <c r="O11" i="1"/>
  <c r="O10" i="1"/>
  <c r="N9" i="1"/>
  <c r="M151" i="1"/>
  <c r="M150" i="1"/>
  <c r="M149" i="1"/>
  <c r="L148" i="1"/>
  <c r="M148" i="1" s="1"/>
  <c r="M147" i="1"/>
  <c r="M146" i="1"/>
  <c r="M145" i="1"/>
  <c r="M144" i="1"/>
  <c r="M143" i="1"/>
  <c r="L142" i="1"/>
  <c r="L141" i="1" s="1"/>
  <c r="M141" i="1" s="1"/>
  <c r="L139" i="1"/>
  <c r="L138" i="1" s="1"/>
  <c r="M138" i="1" s="1"/>
  <c r="M137" i="1"/>
  <c r="M136" i="1"/>
  <c r="M135" i="1"/>
  <c r="M134" i="1"/>
  <c r="M133" i="1"/>
  <c r="M132" i="1"/>
  <c r="M131" i="1"/>
  <c r="M130" i="1"/>
  <c r="M129" i="1"/>
  <c r="M128" i="1"/>
  <c r="M127" i="1"/>
  <c r="M126" i="1"/>
  <c r="L125" i="1"/>
  <c r="L124" i="1" s="1"/>
  <c r="M124" i="1" s="1"/>
  <c r="M123" i="1"/>
  <c r="M122" i="1"/>
  <c r="M121" i="1"/>
  <c r="M120" i="1"/>
  <c r="M119" i="1"/>
  <c r="M118" i="1"/>
  <c r="M117" i="1"/>
  <c r="M116" i="1"/>
  <c r="M114" i="1"/>
  <c r="M113" i="1"/>
  <c r="M112" i="1"/>
  <c r="M111" i="1"/>
  <c r="M110" i="1"/>
  <c r="M109" i="1"/>
  <c r="L108" i="1"/>
  <c r="M108" i="1" s="1"/>
  <c r="M106" i="1"/>
  <c r="M105" i="1"/>
  <c r="M104" i="1"/>
  <c r="M103" i="1"/>
  <c r="M102" i="1"/>
  <c r="L101" i="1"/>
  <c r="M101" i="1" s="1"/>
  <c r="M100" i="1"/>
  <c r="M99" i="1"/>
  <c r="M98" i="1"/>
  <c r="M97" i="1"/>
  <c r="M96" i="1"/>
  <c r="M95" i="1"/>
  <c r="M94" i="1"/>
  <c r="M93" i="1"/>
  <c r="M92" i="1"/>
  <c r="M91" i="1"/>
  <c r="M90" i="1"/>
  <c r="M89" i="1"/>
  <c r="M88" i="1"/>
  <c r="L87" i="1"/>
  <c r="M87" i="1" s="1"/>
  <c r="M85" i="1"/>
  <c r="M84" i="1"/>
  <c r="M83" i="1"/>
  <c r="M82" i="1"/>
  <c r="M81" i="1"/>
  <c r="M80" i="1"/>
  <c r="M79" i="1"/>
  <c r="L78" i="1"/>
  <c r="M78" i="1" s="1"/>
  <c r="M77" i="1"/>
  <c r="M76" i="1"/>
  <c r="M74" i="1"/>
  <c r="M73" i="1"/>
  <c r="M72" i="1"/>
  <c r="L71" i="1"/>
  <c r="M71" i="1" s="1"/>
  <c r="M70" i="1"/>
  <c r="M69" i="1"/>
  <c r="M68" i="1"/>
  <c r="M67" i="1"/>
  <c r="M66" i="1"/>
  <c r="M65" i="1"/>
  <c r="M64" i="1"/>
  <c r="L63" i="1"/>
  <c r="M63" i="1" s="1"/>
  <c r="M62" i="1"/>
  <c r="L61" i="1"/>
  <c r="M61" i="1" s="1"/>
  <c r="M60" i="1"/>
  <c r="M59" i="1"/>
  <c r="M58" i="1"/>
  <c r="M57" i="1"/>
  <c r="M56" i="1"/>
  <c r="M55" i="1"/>
  <c r="M54" i="1"/>
  <c r="M53" i="1"/>
  <c r="M52" i="1"/>
  <c r="M51" i="1"/>
  <c r="M49" i="1"/>
  <c r="L48" i="1"/>
  <c r="M48" i="1" s="1"/>
  <c r="M45" i="1"/>
  <c r="M44" i="1"/>
  <c r="M43" i="1"/>
  <c r="L41" i="1"/>
  <c r="M41" i="1" s="1"/>
  <c r="M40" i="1"/>
  <c r="M38" i="1"/>
  <c r="M36" i="1"/>
  <c r="M35" i="1"/>
  <c r="L34" i="1"/>
  <c r="M34" i="1" s="1"/>
  <c r="M32" i="1"/>
  <c r="M31" i="1"/>
  <c r="M30" i="1"/>
  <c r="L29" i="1"/>
  <c r="M29" i="1" s="1"/>
  <c r="M28" i="1"/>
  <c r="L27" i="1"/>
  <c r="M27" i="1" s="1"/>
  <c r="M26" i="1"/>
  <c r="M25" i="1"/>
  <c r="M24" i="1"/>
  <c r="M23" i="1"/>
  <c r="L22" i="1"/>
  <c r="M22" i="1" s="1"/>
  <c r="M21" i="1"/>
  <c r="M20" i="1"/>
  <c r="M18" i="1"/>
  <c r="M17" i="1"/>
  <c r="M16" i="1"/>
  <c r="M15" i="1"/>
  <c r="M14" i="1"/>
  <c r="L13" i="1"/>
  <c r="M13" i="1" s="1"/>
  <c r="L12" i="1"/>
  <c r="M12" i="1" s="1"/>
  <c r="M11" i="1"/>
  <c r="M10" i="1"/>
  <c r="L9" i="1"/>
  <c r="K151" i="1"/>
  <c r="K150" i="1"/>
  <c r="K149" i="1"/>
  <c r="J148" i="1"/>
  <c r="K148" i="1" s="1"/>
  <c r="K147" i="1"/>
  <c r="K146" i="1"/>
  <c r="K145" i="1"/>
  <c r="K144" i="1"/>
  <c r="K143" i="1"/>
  <c r="J142" i="1"/>
  <c r="J141" i="1" s="1"/>
  <c r="K141" i="1" s="1"/>
  <c r="J139" i="1"/>
  <c r="J138" i="1" s="1"/>
  <c r="K138" i="1" s="1"/>
  <c r="K137" i="1"/>
  <c r="K136" i="1"/>
  <c r="K135" i="1"/>
  <c r="K134" i="1"/>
  <c r="K133" i="1"/>
  <c r="K132" i="1"/>
  <c r="K131" i="1"/>
  <c r="K130" i="1"/>
  <c r="K129" i="1"/>
  <c r="K128" i="1"/>
  <c r="K127" i="1"/>
  <c r="K126" i="1"/>
  <c r="J125" i="1"/>
  <c r="J124" i="1" s="1"/>
  <c r="K124" i="1" s="1"/>
  <c r="K123" i="1"/>
  <c r="K122" i="1"/>
  <c r="K121" i="1"/>
  <c r="K120" i="1"/>
  <c r="K119" i="1"/>
  <c r="K118" i="1"/>
  <c r="K117" i="1"/>
  <c r="K116" i="1"/>
  <c r="K114" i="1"/>
  <c r="K113" i="1"/>
  <c r="K112" i="1"/>
  <c r="K111" i="1"/>
  <c r="K110" i="1"/>
  <c r="K109" i="1"/>
  <c r="J108" i="1"/>
  <c r="K108" i="1" s="1"/>
  <c r="K106" i="1"/>
  <c r="K105" i="1"/>
  <c r="K104" i="1"/>
  <c r="K103" i="1"/>
  <c r="K102" i="1"/>
  <c r="J101" i="1"/>
  <c r="K101" i="1" s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J87" i="1"/>
  <c r="K87" i="1" s="1"/>
  <c r="K85" i="1"/>
  <c r="K84" i="1"/>
  <c r="K83" i="1"/>
  <c r="K82" i="1"/>
  <c r="K81" i="1"/>
  <c r="K80" i="1"/>
  <c r="K79" i="1"/>
  <c r="J78" i="1"/>
  <c r="K78" i="1" s="1"/>
  <c r="K77" i="1"/>
  <c r="K76" i="1"/>
  <c r="K74" i="1"/>
  <c r="K73" i="1"/>
  <c r="K72" i="1"/>
  <c r="J71" i="1"/>
  <c r="K71" i="1" s="1"/>
  <c r="K70" i="1"/>
  <c r="K69" i="1"/>
  <c r="K68" i="1"/>
  <c r="K67" i="1"/>
  <c r="K66" i="1"/>
  <c r="K65" i="1"/>
  <c r="K64" i="1"/>
  <c r="J63" i="1"/>
  <c r="K63" i="1" s="1"/>
  <c r="K62" i="1"/>
  <c r="J61" i="1"/>
  <c r="K61" i="1" s="1"/>
  <c r="K60" i="1"/>
  <c r="K59" i="1"/>
  <c r="K58" i="1"/>
  <c r="K57" i="1"/>
  <c r="K56" i="1"/>
  <c r="K55" i="1"/>
  <c r="K54" i="1"/>
  <c r="K53" i="1"/>
  <c r="K52" i="1"/>
  <c r="K51" i="1"/>
  <c r="K49" i="1"/>
  <c r="J48" i="1"/>
  <c r="K48" i="1" s="1"/>
  <c r="K45" i="1"/>
  <c r="K44" i="1"/>
  <c r="K43" i="1"/>
  <c r="J41" i="1"/>
  <c r="K41" i="1" s="1"/>
  <c r="K40" i="1"/>
  <c r="K38" i="1"/>
  <c r="K36" i="1"/>
  <c r="K35" i="1"/>
  <c r="J34" i="1"/>
  <c r="K34" i="1" s="1"/>
  <c r="K32" i="1"/>
  <c r="K31" i="1"/>
  <c r="K30" i="1"/>
  <c r="J29" i="1"/>
  <c r="K29" i="1" s="1"/>
  <c r="K28" i="1"/>
  <c r="J27" i="1"/>
  <c r="K27" i="1" s="1"/>
  <c r="K26" i="1"/>
  <c r="K25" i="1"/>
  <c r="K24" i="1"/>
  <c r="K23" i="1"/>
  <c r="J22" i="1"/>
  <c r="K22" i="1" s="1"/>
  <c r="K21" i="1"/>
  <c r="K20" i="1"/>
  <c r="K18" i="1"/>
  <c r="K17" i="1"/>
  <c r="K16" i="1"/>
  <c r="K15" i="1"/>
  <c r="K14" i="1"/>
  <c r="J13" i="1"/>
  <c r="K13" i="1" s="1"/>
  <c r="J12" i="1"/>
  <c r="K12" i="1" s="1"/>
  <c r="K11" i="1"/>
  <c r="K10" i="1"/>
  <c r="I151" i="1"/>
  <c r="I150" i="1"/>
  <c r="I149" i="1"/>
  <c r="H148" i="1"/>
  <c r="I148" i="1" s="1"/>
  <c r="I147" i="1"/>
  <c r="I146" i="1"/>
  <c r="I145" i="1"/>
  <c r="I144" i="1"/>
  <c r="I143" i="1"/>
  <c r="H142" i="1"/>
  <c r="H141" i="1" s="1"/>
  <c r="I141" i="1" s="1"/>
  <c r="H139" i="1"/>
  <c r="H138" i="1" s="1"/>
  <c r="I138" i="1" s="1"/>
  <c r="I137" i="1"/>
  <c r="I136" i="1"/>
  <c r="I135" i="1"/>
  <c r="I134" i="1"/>
  <c r="I133" i="1"/>
  <c r="I132" i="1"/>
  <c r="I131" i="1"/>
  <c r="I130" i="1"/>
  <c r="I129" i="1"/>
  <c r="I128" i="1"/>
  <c r="I127" i="1"/>
  <c r="I126" i="1"/>
  <c r="H125" i="1"/>
  <c r="H124" i="1" s="1"/>
  <c r="I124" i="1" s="1"/>
  <c r="I123" i="1"/>
  <c r="I122" i="1"/>
  <c r="I121" i="1"/>
  <c r="I120" i="1"/>
  <c r="I119" i="1"/>
  <c r="I118" i="1"/>
  <c r="I117" i="1"/>
  <c r="I116" i="1"/>
  <c r="I114" i="1"/>
  <c r="I113" i="1"/>
  <c r="I112" i="1"/>
  <c r="I111" i="1"/>
  <c r="I110" i="1"/>
  <c r="I109" i="1"/>
  <c r="H108" i="1"/>
  <c r="I108" i="1" s="1"/>
  <c r="I106" i="1"/>
  <c r="I105" i="1"/>
  <c r="I104" i="1"/>
  <c r="I103" i="1"/>
  <c r="I102" i="1"/>
  <c r="H101" i="1"/>
  <c r="I101" i="1" s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H87" i="1"/>
  <c r="I87" i="1" s="1"/>
  <c r="I85" i="1"/>
  <c r="I84" i="1"/>
  <c r="I83" i="1"/>
  <c r="I82" i="1"/>
  <c r="I81" i="1"/>
  <c r="I80" i="1"/>
  <c r="I79" i="1"/>
  <c r="H78" i="1"/>
  <c r="I78" i="1" s="1"/>
  <c r="I77" i="1"/>
  <c r="I76" i="1"/>
  <c r="I74" i="1"/>
  <c r="I73" i="1"/>
  <c r="I72" i="1"/>
  <c r="H71" i="1"/>
  <c r="I71" i="1" s="1"/>
  <c r="I70" i="1"/>
  <c r="I69" i="1"/>
  <c r="I68" i="1"/>
  <c r="I67" i="1"/>
  <c r="I66" i="1"/>
  <c r="I65" i="1"/>
  <c r="I64" i="1"/>
  <c r="H63" i="1"/>
  <c r="I63" i="1" s="1"/>
  <c r="I62" i="1"/>
  <c r="H61" i="1"/>
  <c r="I61" i="1" s="1"/>
  <c r="I60" i="1"/>
  <c r="I59" i="1"/>
  <c r="I58" i="1"/>
  <c r="I57" i="1"/>
  <c r="I56" i="1"/>
  <c r="I55" i="1"/>
  <c r="I54" i="1"/>
  <c r="I53" i="1"/>
  <c r="I52" i="1"/>
  <c r="I51" i="1"/>
  <c r="I49" i="1"/>
  <c r="H48" i="1"/>
  <c r="I48" i="1" s="1"/>
  <c r="I45" i="1"/>
  <c r="I44" i="1"/>
  <c r="I43" i="1"/>
  <c r="H41" i="1"/>
  <c r="I41" i="1" s="1"/>
  <c r="I40" i="1"/>
  <c r="I38" i="1"/>
  <c r="I36" i="1"/>
  <c r="I35" i="1"/>
  <c r="H34" i="1"/>
  <c r="I34" i="1" s="1"/>
  <c r="I32" i="1"/>
  <c r="I31" i="1"/>
  <c r="I30" i="1"/>
  <c r="H29" i="1"/>
  <c r="I29" i="1" s="1"/>
  <c r="I28" i="1"/>
  <c r="H27" i="1"/>
  <c r="I27" i="1" s="1"/>
  <c r="I26" i="1"/>
  <c r="I25" i="1"/>
  <c r="I24" i="1"/>
  <c r="I23" i="1"/>
  <c r="H22" i="1"/>
  <c r="I22" i="1" s="1"/>
  <c r="I21" i="1"/>
  <c r="I20" i="1"/>
  <c r="I18" i="1"/>
  <c r="I17" i="1"/>
  <c r="I16" i="1"/>
  <c r="I15" i="1"/>
  <c r="I14" i="1"/>
  <c r="H13" i="1"/>
  <c r="I13" i="1" s="1"/>
  <c r="H12" i="1"/>
  <c r="I12" i="1" s="1"/>
  <c r="I11" i="1"/>
  <c r="I10" i="1"/>
  <c r="G151" i="1"/>
  <c r="G150" i="1"/>
  <c r="G149" i="1"/>
  <c r="F148" i="1"/>
  <c r="G148" i="1" s="1"/>
  <c r="G147" i="1"/>
  <c r="G146" i="1"/>
  <c r="G145" i="1"/>
  <c r="G144" i="1"/>
  <c r="G143" i="1"/>
  <c r="F142" i="1"/>
  <c r="F141" i="1" s="1"/>
  <c r="G141" i="1" s="1"/>
  <c r="F139" i="1"/>
  <c r="F138" i="1" s="1"/>
  <c r="G138" i="1" s="1"/>
  <c r="G137" i="1"/>
  <c r="G136" i="1"/>
  <c r="G135" i="1"/>
  <c r="G134" i="1"/>
  <c r="G133" i="1"/>
  <c r="G132" i="1"/>
  <c r="G131" i="1"/>
  <c r="G130" i="1"/>
  <c r="G129" i="1"/>
  <c r="G128" i="1"/>
  <c r="G127" i="1"/>
  <c r="G126" i="1"/>
  <c r="F125" i="1"/>
  <c r="F124" i="1" s="1"/>
  <c r="G124" i="1" s="1"/>
  <c r="G123" i="1"/>
  <c r="G122" i="1"/>
  <c r="G121" i="1"/>
  <c r="G120" i="1"/>
  <c r="G119" i="1"/>
  <c r="G118" i="1"/>
  <c r="G117" i="1"/>
  <c r="G116" i="1"/>
  <c r="G114" i="1"/>
  <c r="G113" i="1"/>
  <c r="G112" i="1"/>
  <c r="G111" i="1"/>
  <c r="G110" i="1"/>
  <c r="G109" i="1"/>
  <c r="F108" i="1"/>
  <c r="G108" i="1" s="1"/>
  <c r="G106" i="1"/>
  <c r="G105" i="1"/>
  <c r="G104" i="1"/>
  <c r="G103" i="1"/>
  <c r="G102" i="1"/>
  <c r="F101" i="1"/>
  <c r="G101" i="1" s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F87" i="1"/>
  <c r="G87" i="1" s="1"/>
  <c r="G85" i="1"/>
  <c r="G84" i="1"/>
  <c r="G83" i="1"/>
  <c r="G82" i="1"/>
  <c r="G81" i="1"/>
  <c r="G80" i="1"/>
  <c r="G79" i="1"/>
  <c r="F78" i="1"/>
  <c r="G78" i="1" s="1"/>
  <c r="G77" i="1"/>
  <c r="G76" i="1"/>
  <c r="G74" i="1"/>
  <c r="G73" i="1"/>
  <c r="G72" i="1"/>
  <c r="F71" i="1"/>
  <c r="G71" i="1" s="1"/>
  <c r="G70" i="1"/>
  <c r="G69" i="1"/>
  <c r="G68" i="1"/>
  <c r="G67" i="1"/>
  <c r="G66" i="1"/>
  <c r="G65" i="1"/>
  <c r="G64" i="1"/>
  <c r="F63" i="1"/>
  <c r="G63" i="1" s="1"/>
  <c r="G62" i="1"/>
  <c r="F61" i="1"/>
  <c r="G61" i="1" s="1"/>
  <c r="G60" i="1"/>
  <c r="G59" i="1"/>
  <c r="G58" i="1"/>
  <c r="G57" i="1"/>
  <c r="G56" i="1"/>
  <c r="G55" i="1"/>
  <c r="G54" i="1"/>
  <c r="G53" i="1"/>
  <c r="G52" i="1"/>
  <c r="G51" i="1"/>
  <c r="G49" i="1"/>
  <c r="F48" i="1"/>
  <c r="G45" i="1"/>
  <c r="G44" i="1"/>
  <c r="G43" i="1"/>
  <c r="F41" i="1"/>
  <c r="G41" i="1" s="1"/>
  <c r="G40" i="1"/>
  <c r="G38" i="1"/>
  <c r="G36" i="1"/>
  <c r="G35" i="1"/>
  <c r="F34" i="1"/>
  <c r="G34" i="1" s="1"/>
  <c r="G32" i="1"/>
  <c r="G31" i="1"/>
  <c r="G30" i="1"/>
  <c r="F29" i="1"/>
  <c r="G29" i="1" s="1"/>
  <c r="G28" i="1"/>
  <c r="F27" i="1"/>
  <c r="G27" i="1" s="1"/>
  <c r="G26" i="1"/>
  <c r="G25" i="1"/>
  <c r="G24" i="1"/>
  <c r="G23" i="1"/>
  <c r="F22" i="1"/>
  <c r="G22" i="1" s="1"/>
  <c r="G21" i="1"/>
  <c r="G20" i="1"/>
  <c r="G18" i="1"/>
  <c r="G17" i="1"/>
  <c r="G16" i="1"/>
  <c r="G15" i="1"/>
  <c r="G14" i="1"/>
  <c r="F13" i="1"/>
  <c r="G13" i="1" s="1"/>
  <c r="G11" i="1"/>
  <c r="G10" i="1"/>
  <c r="E151" i="1"/>
  <c r="E150" i="1"/>
  <c r="E149" i="1"/>
  <c r="E147" i="1"/>
  <c r="E146" i="1"/>
  <c r="E145" i="1"/>
  <c r="E144" i="1"/>
  <c r="E143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3" i="1"/>
  <c r="E122" i="1"/>
  <c r="E121" i="1"/>
  <c r="E120" i="1"/>
  <c r="E119" i="1"/>
  <c r="E118" i="1"/>
  <c r="E117" i="1"/>
  <c r="E116" i="1"/>
  <c r="E114" i="1"/>
  <c r="E113" i="1"/>
  <c r="E112" i="1"/>
  <c r="E111" i="1"/>
  <c r="E110" i="1"/>
  <c r="E109" i="1"/>
  <c r="E106" i="1"/>
  <c r="E105" i="1"/>
  <c r="E104" i="1"/>
  <c r="E103" i="1"/>
  <c r="E102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5" i="1"/>
  <c r="E84" i="1"/>
  <c r="E83" i="1"/>
  <c r="E82" i="1"/>
  <c r="E81" i="1"/>
  <c r="E80" i="1"/>
  <c r="E79" i="1"/>
  <c r="E77" i="1"/>
  <c r="E76" i="1"/>
  <c r="E74" i="1"/>
  <c r="E73" i="1"/>
  <c r="E72" i="1"/>
  <c r="E70" i="1"/>
  <c r="E69" i="1"/>
  <c r="E68" i="1"/>
  <c r="E67" i="1"/>
  <c r="E66" i="1"/>
  <c r="E65" i="1"/>
  <c r="E64" i="1"/>
  <c r="E62" i="1"/>
  <c r="E60" i="1"/>
  <c r="E59" i="1"/>
  <c r="E58" i="1"/>
  <c r="E57" i="1"/>
  <c r="E55" i="1"/>
  <c r="E54" i="1"/>
  <c r="E53" i="1"/>
  <c r="E52" i="1"/>
  <c r="E51" i="1"/>
  <c r="E49" i="1"/>
  <c r="E45" i="1"/>
  <c r="E44" i="1"/>
  <c r="E43" i="1"/>
  <c r="E40" i="1"/>
  <c r="E38" i="1"/>
  <c r="E36" i="1"/>
  <c r="E35" i="1"/>
  <c r="E31" i="1"/>
  <c r="E30" i="1"/>
  <c r="E28" i="1"/>
  <c r="E26" i="1"/>
  <c r="E25" i="1"/>
  <c r="E24" i="1"/>
  <c r="E23" i="1"/>
  <c r="E21" i="1"/>
  <c r="E20" i="1"/>
  <c r="E18" i="1"/>
  <c r="E17" i="1"/>
  <c r="E16" i="1"/>
  <c r="E15" i="1"/>
  <c r="E14" i="1"/>
  <c r="E11" i="1"/>
  <c r="E10" i="1"/>
  <c r="D148" i="1"/>
  <c r="E148" i="1" s="1"/>
  <c r="D142" i="1"/>
  <c r="D141" i="1" s="1"/>
  <c r="E141" i="1" s="1"/>
  <c r="D139" i="1"/>
  <c r="E139" i="1" s="1"/>
  <c r="D125" i="1"/>
  <c r="D124" i="1" s="1"/>
  <c r="E124" i="1" s="1"/>
  <c r="D108" i="1"/>
  <c r="D107" i="1" s="1"/>
  <c r="E107" i="1" s="1"/>
  <c r="D101" i="1"/>
  <c r="E101" i="1" s="1"/>
  <c r="D87" i="1"/>
  <c r="D86" i="1" s="1"/>
  <c r="E86" i="1" s="1"/>
  <c r="D78" i="1"/>
  <c r="E78" i="1" s="1"/>
  <c r="D71" i="1"/>
  <c r="E71" i="1" s="1"/>
  <c r="D63" i="1"/>
  <c r="E63" i="1" s="1"/>
  <c r="D61" i="1"/>
  <c r="E61" i="1" s="1"/>
  <c r="D41" i="1"/>
  <c r="E41" i="1" s="1"/>
  <c r="D34" i="1"/>
  <c r="E34" i="1" s="1"/>
  <c r="D29" i="1"/>
  <c r="E29" i="1" s="1"/>
  <c r="D27" i="1"/>
  <c r="E27" i="1" s="1"/>
  <c r="D22" i="1"/>
  <c r="E22" i="1" s="1"/>
  <c r="D13" i="1"/>
  <c r="E13" i="1" s="1"/>
  <c r="Z9" i="1" l="1"/>
  <c r="AA9" i="1" s="1"/>
  <c r="X9" i="1"/>
  <c r="Y9" i="1" s="1"/>
  <c r="AC113" i="1"/>
  <c r="Z8" i="1"/>
  <c r="Z6" i="1" s="1"/>
  <c r="X8" i="1"/>
  <c r="Y8" i="1" s="1"/>
  <c r="AC132" i="1"/>
  <c r="AD132" i="1"/>
  <c r="AC136" i="1"/>
  <c r="AD136" i="1"/>
  <c r="AC144" i="1"/>
  <c r="AD144" i="1"/>
  <c r="AC149" i="1"/>
  <c r="AD149" i="1"/>
  <c r="R86" i="1"/>
  <c r="S86" i="1" s="1"/>
  <c r="AC133" i="1"/>
  <c r="AD133" i="1"/>
  <c r="AC137" i="1"/>
  <c r="AD137" i="1"/>
  <c r="AC145" i="1"/>
  <c r="AD145" i="1"/>
  <c r="AC75" i="1"/>
  <c r="AC140" i="1"/>
  <c r="V9" i="1"/>
  <c r="AC134" i="1"/>
  <c r="AD134" i="1"/>
  <c r="AC146" i="1"/>
  <c r="AD146" i="1"/>
  <c r="AC151" i="1"/>
  <c r="AD151" i="1"/>
  <c r="E87" i="1"/>
  <c r="J9" i="1"/>
  <c r="K9" i="1" s="1"/>
  <c r="T9" i="1"/>
  <c r="U9" i="1" s="1"/>
  <c r="V107" i="1"/>
  <c r="W107" i="1" s="1"/>
  <c r="Z47" i="1"/>
  <c r="AA47" i="1" s="1"/>
  <c r="AA108" i="1"/>
  <c r="AC127" i="1"/>
  <c r="AD127" i="1"/>
  <c r="AC131" i="1"/>
  <c r="AD131" i="1"/>
  <c r="AC135" i="1"/>
  <c r="AD135" i="1"/>
  <c r="AC143" i="1"/>
  <c r="AD143" i="1"/>
  <c r="AC147" i="1"/>
  <c r="AD147" i="1"/>
  <c r="AC139" i="1"/>
  <c r="AB138" i="1"/>
  <c r="AC138" i="1" s="1"/>
  <c r="AC25" i="1"/>
  <c r="AD25" i="1"/>
  <c r="AD50" i="1"/>
  <c r="AC65" i="1"/>
  <c r="AD65" i="1"/>
  <c r="AC105" i="1"/>
  <c r="AD105" i="1"/>
  <c r="AC120" i="1"/>
  <c r="AD120" i="1"/>
  <c r="H9" i="1"/>
  <c r="I9" i="1" s="1"/>
  <c r="W87" i="1"/>
  <c r="X86" i="1"/>
  <c r="Y86" i="1" s="1"/>
  <c r="AA48" i="1"/>
  <c r="AA87" i="1"/>
  <c r="AC16" i="1"/>
  <c r="AD16" i="1"/>
  <c r="AC20" i="1"/>
  <c r="AD20" i="1"/>
  <c r="AC26" i="1"/>
  <c r="AD26" i="1"/>
  <c r="AC35" i="1"/>
  <c r="AD35" i="1"/>
  <c r="AC51" i="1"/>
  <c r="AD51" i="1"/>
  <c r="AC66" i="1"/>
  <c r="AD66" i="1"/>
  <c r="AC70" i="1"/>
  <c r="AD70" i="1"/>
  <c r="AC81" i="1"/>
  <c r="AD81" i="1"/>
  <c r="AC84" i="1"/>
  <c r="AD84" i="1"/>
  <c r="AC102" i="1"/>
  <c r="AD102" i="1"/>
  <c r="AC121" i="1"/>
  <c r="AD121" i="1"/>
  <c r="AC76" i="1"/>
  <c r="AD76" i="1"/>
  <c r="AC15" i="1"/>
  <c r="AD15" i="1"/>
  <c r="AC69" i="1"/>
  <c r="AD69" i="1"/>
  <c r="AC74" i="1"/>
  <c r="AD74" i="1"/>
  <c r="AC83" i="1"/>
  <c r="AD83" i="1"/>
  <c r="D138" i="1"/>
  <c r="E138" i="1" s="1"/>
  <c r="X107" i="1"/>
  <c r="Y107" i="1" s="1"/>
  <c r="AC17" i="1"/>
  <c r="AD17" i="1"/>
  <c r="AC21" i="1"/>
  <c r="AD21" i="1"/>
  <c r="AB27" i="1"/>
  <c r="AC27" i="1" s="1"/>
  <c r="AD28" i="1"/>
  <c r="AD27" i="1" s="1"/>
  <c r="C18" i="3" s="1"/>
  <c r="AC36" i="1"/>
  <c r="AD36" i="1"/>
  <c r="AC40" i="1"/>
  <c r="AD40" i="1"/>
  <c r="AB61" i="1"/>
  <c r="AC61" i="1" s="1"/>
  <c r="AD62" i="1"/>
  <c r="AD61" i="1" s="1"/>
  <c r="AC67" i="1"/>
  <c r="AD67" i="1"/>
  <c r="AC72" i="1"/>
  <c r="AD72" i="1"/>
  <c r="AC77" i="1"/>
  <c r="AD77" i="1"/>
  <c r="AC82" i="1"/>
  <c r="AD82" i="1"/>
  <c r="AC103" i="1"/>
  <c r="AD103" i="1"/>
  <c r="AC118" i="1"/>
  <c r="AD118" i="1"/>
  <c r="AC122" i="1"/>
  <c r="AD122" i="1"/>
  <c r="AC44" i="1"/>
  <c r="L86" i="1"/>
  <c r="M86" i="1" s="1"/>
  <c r="AC14" i="1"/>
  <c r="AD14" i="1"/>
  <c r="AC18" i="1"/>
  <c r="AD18" i="1"/>
  <c r="AC24" i="1"/>
  <c r="AD24" i="1"/>
  <c r="AC68" i="1"/>
  <c r="AD68" i="1"/>
  <c r="AC73" i="1"/>
  <c r="AD73" i="1"/>
  <c r="AC79" i="1"/>
  <c r="AD79" i="1"/>
  <c r="AC88" i="1"/>
  <c r="AD88" i="1"/>
  <c r="AD87" i="1" s="1"/>
  <c r="AD86" i="1" s="1"/>
  <c r="AC104" i="1"/>
  <c r="AD104" i="1"/>
  <c r="AC119" i="1"/>
  <c r="AD119" i="1"/>
  <c r="AC123" i="1"/>
  <c r="AD123" i="1"/>
  <c r="AC23" i="1"/>
  <c r="AD23" i="1"/>
  <c r="AC38" i="1"/>
  <c r="AD38" i="1"/>
  <c r="J107" i="1"/>
  <c r="K107" i="1" s="1"/>
  <c r="T107" i="1"/>
  <c r="U107" i="1" s="1"/>
  <c r="T86" i="1"/>
  <c r="U86" i="1" s="1"/>
  <c r="R107" i="1"/>
  <c r="S107" i="1" s="1"/>
  <c r="R9" i="1"/>
  <c r="P107" i="1"/>
  <c r="Q107" i="1" s="1"/>
  <c r="P86" i="1"/>
  <c r="Q86" i="1" s="1"/>
  <c r="P47" i="1"/>
  <c r="Q47" i="1" s="1"/>
  <c r="P8" i="1"/>
  <c r="Q8" i="1" s="1"/>
  <c r="N107" i="1"/>
  <c r="O107" i="1" s="1"/>
  <c r="N86" i="1"/>
  <c r="O86" i="1" s="1"/>
  <c r="N8" i="1"/>
  <c r="N6" i="1" s="1"/>
  <c r="O9" i="1"/>
  <c r="L107" i="1"/>
  <c r="M107" i="1" s="1"/>
  <c r="L8" i="1"/>
  <c r="L6" i="1" s="1"/>
  <c r="L4" i="1" s="1"/>
  <c r="M4" i="1" s="1"/>
  <c r="M9" i="1"/>
  <c r="J86" i="1"/>
  <c r="K86" i="1" s="1"/>
  <c r="J8" i="1"/>
  <c r="K8" i="1" s="1"/>
  <c r="H107" i="1"/>
  <c r="I107" i="1" s="1"/>
  <c r="AB87" i="1"/>
  <c r="AC87" i="1" s="1"/>
  <c r="H86" i="1"/>
  <c r="I86" i="1" s="1"/>
  <c r="H8" i="1"/>
  <c r="H6" i="1" s="1"/>
  <c r="AB148" i="1"/>
  <c r="AC148" i="1" s="1"/>
  <c r="AC62" i="1"/>
  <c r="AC28" i="1"/>
  <c r="F86" i="1"/>
  <c r="G86" i="1" s="1"/>
  <c r="F107" i="1"/>
  <c r="G107" i="1" s="1"/>
  <c r="AC150" i="1"/>
  <c r="E142" i="1"/>
  <c r="AB142" i="1"/>
  <c r="AB125" i="1"/>
  <c r="AC125" i="1" s="1"/>
  <c r="E125" i="1"/>
  <c r="AB101" i="1"/>
  <c r="AC101" i="1" s="1"/>
  <c r="AC95" i="1"/>
  <c r="AB108" i="1"/>
  <c r="AC108" i="1" s="1"/>
  <c r="E108" i="1"/>
  <c r="AC109" i="1"/>
  <c r="AB63" i="1"/>
  <c r="AC63" i="1" s="1"/>
  <c r="AC64" i="1"/>
  <c r="D48" i="1"/>
  <c r="E48" i="1" s="1"/>
  <c r="E56" i="1"/>
  <c r="AB71" i="1"/>
  <c r="AC71" i="1" s="1"/>
  <c r="F47" i="1"/>
  <c r="F46" i="1" s="1"/>
  <c r="G48" i="1"/>
  <c r="AB48" i="1"/>
  <c r="AC48" i="1" s="1"/>
  <c r="AB32" i="1"/>
  <c r="AB12" i="1"/>
  <c r="AC12" i="1" s="1"/>
  <c r="F9" i="1"/>
  <c r="F8" i="1" s="1"/>
  <c r="G8" i="1" s="1"/>
  <c r="AB22" i="1"/>
  <c r="AC22" i="1" s="1"/>
  <c r="E32" i="1"/>
  <c r="AB34" i="1"/>
  <c r="AC34" i="1" s="1"/>
  <c r="AB13" i="1"/>
  <c r="AC13" i="1" s="1"/>
  <c r="D9" i="1"/>
  <c r="E9" i="1" s="1"/>
  <c r="E12" i="1"/>
  <c r="AB41" i="1"/>
  <c r="AC41" i="1" s="1"/>
  <c r="AB78" i="1"/>
  <c r="AC78" i="1" s="1"/>
  <c r="Z46" i="1"/>
  <c r="AA46" i="1" s="1"/>
  <c r="AA125" i="1"/>
  <c r="AA139" i="1"/>
  <c r="AA142" i="1"/>
  <c r="X47" i="1"/>
  <c r="Y125" i="1"/>
  <c r="Y139" i="1"/>
  <c r="Y142" i="1"/>
  <c r="V47" i="1"/>
  <c r="W142" i="1"/>
  <c r="V124" i="1"/>
  <c r="W124" i="1" s="1"/>
  <c r="V138" i="1"/>
  <c r="W138" i="1" s="1"/>
  <c r="T47" i="1"/>
  <c r="U125" i="1"/>
  <c r="U139" i="1"/>
  <c r="U142" i="1"/>
  <c r="R47" i="1"/>
  <c r="S125" i="1"/>
  <c r="S139" i="1"/>
  <c r="S142" i="1"/>
  <c r="Q125" i="1"/>
  <c r="Q139" i="1"/>
  <c r="Q142" i="1"/>
  <c r="N47" i="1"/>
  <c r="O125" i="1"/>
  <c r="O139" i="1"/>
  <c r="O142" i="1"/>
  <c r="L47" i="1"/>
  <c r="M125" i="1"/>
  <c r="M139" i="1"/>
  <c r="M142" i="1"/>
  <c r="J47" i="1"/>
  <c r="K125" i="1"/>
  <c r="K139" i="1"/>
  <c r="K142" i="1"/>
  <c r="H47" i="1"/>
  <c r="I125" i="1"/>
  <c r="I139" i="1"/>
  <c r="I142" i="1"/>
  <c r="G125" i="1"/>
  <c r="G139" i="1"/>
  <c r="G142" i="1"/>
  <c r="AA8" i="1" l="1"/>
  <c r="X6" i="1"/>
  <c r="Y6" i="1" s="1"/>
  <c r="P6" i="1"/>
  <c r="AD48" i="1"/>
  <c r="G7" i="3" s="1"/>
  <c r="AD142" i="1"/>
  <c r="AD22" i="1"/>
  <c r="C13" i="3" s="1"/>
  <c r="AD13" i="1"/>
  <c r="AD101" i="1"/>
  <c r="G11" i="3" s="1"/>
  <c r="AD63" i="1"/>
  <c r="AD125" i="1"/>
  <c r="AD124" i="1" s="1"/>
  <c r="F14" i="3" s="1"/>
  <c r="AD108" i="1"/>
  <c r="AD107" i="1" s="1"/>
  <c r="F13" i="3" s="1"/>
  <c r="AD148" i="1"/>
  <c r="G10" i="3" s="1"/>
  <c r="V8" i="1"/>
  <c r="W9" i="1"/>
  <c r="T8" i="1"/>
  <c r="T6" i="1" s="1"/>
  <c r="AD78" i="1"/>
  <c r="AD71" i="1"/>
  <c r="AC32" i="1"/>
  <c r="AD32" i="1"/>
  <c r="AD29" i="1" s="1"/>
  <c r="AD34" i="1"/>
  <c r="C14" i="3" s="1"/>
  <c r="O8" i="1"/>
  <c r="J6" i="1"/>
  <c r="K6" i="1" s="1"/>
  <c r="M8" i="1"/>
  <c r="R8" i="1"/>
  <c r="S9" i="1"/>
  <c r="P46" i="1"/>
  <c r="Q46" i="1" s="1"/>
  <c r="I8" i="1"/>
  <c r="M6" i="1"/>
  <c r="AB86" i="1"/>
  <c r="AC86" i="1" s="1"/>
  <c r="AB29" i="1"/>
  <c r="AC29" i="1" s="1"/>
  <c r="AB107" i="1"/>
  <c r="AC107" i="1" s="1"/>
  <c r="D47" i="1"/>
  <c r="D46" i="1" s="1"/>
  <c r="E46" i="1" s="1"/>
  <c r="AB124" i="1"/>
  <c r="AC124" i="1" s="1"/>
  <c r="G46" i="1"/>
  <c r="AB141" i="1"/>
  <c r="AC141" i="1" s="1"/>
  <c r="AC142" i="1"/>
  <c r="G47" i="1"/>
  <c r="G9" i="1"/>
  <c r="AB9" i="1"/>
  <c r="AC9" i="1" s="1"/>
  <c r="F6" i="1"/>
  <c r="G6" i="1" s="1"/>
  <c r="D8" i="1"/>
  <c r="E8" i="1" s="1"/>
  <c r="AB47" i="1"/>
  <c r="AC47" i="1" s="1"/>
  <c r="AA6" i="1"/>
  <c r="Z4" i="1"/>
  <c r="AA4" i="1" s="1"/>
  <c r="X46" i="1"/>
  <c r="Y46" i="1" s="1"/>
  <c r="Y47" i="1"/>
  <c r="V46" i="1"/>
  <c r="W46" i="1" s="1"/>
  <c r="W47" i="1"/>
  <c r="T46" i="1"/>
  <c r="U46" i="1" s="1"/>
  <c r="U47" i="1"/>
  <c r="R46" i="1"/>
  <c r="S46" i="1" s="1"/>
  <c r="S47" i="1"/>
  <c r="Q6" i="1"/>
  <c r="P4" i="1"/>
  <c r="Q4" i="1" s="1"/>
  <c r="N46" i="1"/>
  <c r="O46" i="1" s="1"/>
  <c r="O47" i="1"/>
  <c r="N4" i="1"/>
  <c r="O4" i="1" s="1"/>
  <c r="O6" i="1"/>
  <c r="L46" i="1"/>
  <c r="M46" i="1" s="1"/>
  <c r="M47" i="1"/>
  <c r="J46" i="1"/>
  <c r="K46" i="1" s="1"/>
  <c r="K47" i="1"/>
  <c r="H46" i="1"/>
  <c r="I46" i="1" s="1"/>
  <c r="I47" i="1"/>
  <c r="I6" i="1"/>
  <c r="H4" i="1"/>
  <c r="I4" i="1" s="1"/>
  <c r="X4" i="1" l="1"/>
  <c r="Y4" i="1" s="1"/>
  <c r="AD141" i="1"/>
  <c r="G9" i="3"/>
  <c r="G8" i="3"/>
  <c r="AD8" i="1"/>
  <c r="AD6" i="1" s="1"/>
  <c r="AD4" i="1" s="1"/>
  <c r="D8" i="3"/>
  <c r="J4" i="1"/>
  <c r="K4" i="1" s="1"/>
  <c r="AD47" i="1"/>
  <c r="AD46" i="1" s="1"/>
  <c r="U6" i="1"/>
  <c r="T4" i="1"/>
  <c r="U4" i="1" s="1"/>
  <c r="U8" i="1"/>
  <c r="V6" i="1"/>
  <c r="W8" i="1"/>
  <c r="S8" i="1"/>
  <c r="R6" i="1"/>
  <c r="AB8" i="1"/>
  <c r="AB6" i="1" s="1"/>
  <c r="AC6" i="1" s="1"/>
  <c r="E47" i="1"/>
  <c r="F4" i="1"/>
  <c r="G4" i="1" s="1"/>
  <c r="D6" i="1"/>
  <c r="E6" i="1" s="1"/>
  <c r="AB46" i="1"/>
  <c r="AC46" i="1" s="1"/>
  <c r="W6" i="1" l="1"/>
  <c r="V4" i="1"/>
  <c r="W4" i="1" s="1"/>
  <c r="S6" i="1"/>
  <c r="R4" i="1"/>
  <c r="S4" i="1" s="1"/>
  <c r="AC8" i="1"/>
  <c r="AB4" i="1"/>
  <c r="AC4" i="1" s="1"/>
  <c r="D4" i="1"/>
  <c r="E4" i="1" s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1" i="1"/>
  <c r="C10" i="1"/>
  <c r="C9" i="1"/>
  <c r="C8" i="1"/>
  <c r="C6" i="1"/>
  <c r="C4" i="1"/>
  <c r="D34" i="4" l="1"/>
  <c r="H13" i="3" l="1"/>
  <c r="C6" i="3" l="1"/>
  <c r="C4" i="3" s="1"/>
  <c r="B10" i="3" l="1"/>
  <c r="H15" i="3"/>
  <c r="H14" i="3" l="1"/>
  <c r="F6" i="3" l="1"/>
  <c r="H6" i="3" s="1"/>
  <c r="F4" i="3" l="1"/>
  <c r="H4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YCSA</author>
  </authors>
  <commentList>
    <comment ref="B19" authorId="0" shapeId="0" xr:uid="{3E453979-69E2-43DC-AB6C-4F8B00329CC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Passei para diretoria de vela23166,30
</t>
        </r>
      </text>
    </comment>
    <comment ref="T33" authorId="0" shapeId="0" xr:uid="{39DB0599-AE38-483B-A527-615DA6136238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venda bote farol, 2 motores, 1 carreta. Entregues para abatimento de valor serviço a ser prestado</t>
        </r>
      </text>
    </comment>
    <comment ref="B49" authorId="0" shapeId="0" xr:uid="{80EFF476-0571-488E-9E87-24B68A581A9D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12 folhas</t>
        </r>
      </text>
    </comment>
    <comment ref="J53" authorId="0" shapeId="0" xr:uid="{5C2B0C35-5C3F-43CE-A4AF-04D2E8F43381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acordo Mayara e Eliza</t>
        </r>
      </text>
    </comment>
    <comment ref="AD91" authorId="0" shapeId="0" xr:uid="{3212CFF9-25E7-4403-92A2-342751CBF6B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Coquetel descerramento placas, confecção placas, outras homenagens como coroa de flores</t>
        </r>
      </text>
    </comment>
    <comment ref="AD98" authorId="0" shapeId="0" xr:uid="{85025D62-D274-42E5-83F5-D91BD55D49CB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Lembrancinhas crianças, papai noel, chá da tarde, coral, festa confraternização funcionários</t>
        </r>
      </text>
    </comment>
    <comment ref="B110" authorId="0" shapeId="0" xr:uid="{510F13FE-F47F-47FD-B6A7-ACCF31408E59}">
      <text>
        <r>
          <rPr>
            <b/>
            <sz val="9"/>
            <color indexed="81"/>
            <rFont val="Segoe UI"/>
            <family val="2"/>
          </rPr>
          <t>YCSA:</t>
        </r>
        <r>
          <rPr>
            <sz val="9"/>
            <color indexed="81"/>
            <rFont val="Segoe UI"/>
            <family val="2"/>
          </rPr>
          <t xml:space="preserve">
parte custeado pelo CBC
</t>
        </r>
      </text>
    </comment>
    <comment ref="Z149" authorId="0" shapeId="0" xr:uid="{628F090D-51B4-4065-A231-BE6E9311E873}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demanda solar
</t>
        </r>
      </text>
    </comment>
  </commentList>
</comments>
</file>

<file path=xl/sharedStrings.xml><?xml version="1.0" encoding="utf-8"?>
<sst xmlns="http://schemas.openxmlformats.org/spreadsheetml/2006/main" count="870" uniqueCount="528">
  <si>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</si>
  <si>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</si>
  <si>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</si>
  <si>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</si>
  <si>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</si>
  <si>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</si>
  <si>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</si>
  <si>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</si>
  <si>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</si>
  <si>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</si>
  <si>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</si>
  <si>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</si>
  <si>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</si>
  <si>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</si>
  <si>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</si>
  <si>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</si>
  <si>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</si>
  <si>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</si>
  <si>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</si>
  <si>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</si>
  <si>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</si>
  <si>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uniformes e acessórios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</si>
  <si>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</si>
  <si>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</si>
  <si>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</si>
  <si>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</si>
  <si>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</si>
  <si>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</si>
  <si>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</si>
  <si>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</si>
  <si>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</si>
  <si>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</si>
  <si>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</si>
  <si>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</si>
  <si>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</si>
  <si>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</si>
  <si>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</si>
  <si>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</si>
  <si>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</si>
  <si>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</si>
  <si>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</si>
  <si>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</si>
  <si>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</si>
  <si>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</si>
  <si>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</si>
  <si>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</si>
  <si>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</si>
  <si>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</si>
  <si>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</si>
  <si>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</si>
  <si>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</si>
  <si>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</si>
  <si>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</si>
  <si>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</si>
  <si>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</si>
  <si>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</si>
  <si>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</si>
  <si>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</si>
  <si>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</si>
  <si>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</si>
  <si>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</si>
  <si>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</si>
  <si>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</si>
  <si>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</si>
  <si>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</si>
  <si>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</si>
  <si>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</si>
  <si>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</si>
  <si>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</si>
  <si>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</si>
  <si>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Gratificações</t>
  </si>
  <si>
    <t>Alimentação de funcionários / cesta básica / exames médicos  / Vale transporte /</t>
  </si>
  <si>
    <t>Combustível (Escola de Vela)</t>
  </si>
  <si>
    <t>Materiais escola de vela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</si>
  <si>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</si>
  <si>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</si>
  <si>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</si>
  <si>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</si>
  <si>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</si>
  <si>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</si>
  <si>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</si>
  <si>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</si>
  <si>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</si>
  <si>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</si>
  <si>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</si>
  <si>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</si>
  <si>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</si>
  <si>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</si>
  <si>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</si>
  <si>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</si>
  <si>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</si>
  <si>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</si>
  <si>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</si>
  <si>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</si>
  <si>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</si>
  <si>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</si>
  <si>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</si>
  <si>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</si>
  <si>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</si>
  <si>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</si>
  <si>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</si>
  <si>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</si>
  <si>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</si>
  <si>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</si>
  <si>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</si>
  <si>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</si>
  <si>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</si>
  <si>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</si>
  <si>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</si>
  <si>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</si>
  <si>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</si>
  <si>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</si>
  <si>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</si>
  <si>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</si>
  <si>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</si>
  <si>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</si>
  <si>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</si>
  <si>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</si>
  <si>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</si>
  <si>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</si>
  <si>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</si>
  <si>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</si>
  <si>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</si>
  <si>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</si>
  <si>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</si>
  <si>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TX Obras</t>
  </si>
  <si>
    <t>Convites Sociais + (Parceiros)</t>
  </si>
  <si>
    <t>TX Transf</t>
  </si>
  <si>
    <t>Título</t>
  </si>
  <si>
    <t>Total Tx Transf</t>
  </si>
  <si>
    <t>Total Título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</si>
  <si>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</si>
  <si>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</si>
  <si>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</si>
  <si>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</si>
  <si>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</si>
  <si>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</si>
  <si>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</si>
  <si>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</si>
  <si>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</si>
  <si>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DIFERENÇA</t>
  </si>
  <si>
    <t>REAJUSTE NA MENSALIDADE</t>
  </si>
  <si>
    <t>Proprietário individual</t>
  </si>
  <si>
    <t>Colaboradores terceirizados (faxineira, jardineiro, porteiros)</t>
  </si>
  <si>
    <t>Diretoria de Sustentabilidade</t>
  </si>
  <si>
    <t>Despesas de sustentabilidade</t>
  </si>
  <si>
    <t>Ações de sustentabilidade</t>
  </si>
  <si>
    <t>Aluguel de barcos</t>
  </si>
  <si>
    <t>Eventos Náuticos (prêmios, juria)</t>
  </si>
  <si>
    <t>Uniformes e Adesivos Equip Vela</t>
  </si>
  <si>
    <t>DIRETORIA SOCIAL</t>
  </si>
  <si>
    <t>Eventos Diversos</t>
  </si>
  <si>
    <t>Acompanhamento técnico</t>
  </si>
  <si>
    <t>Bazar YCSA</t>
  </si>
  <si>
    <t>Manutenção e Conservação Veleiros e botes da Escola de Vela</t>
  </si>
  <si>
    <t>Manutenção botes, lanchas e veleiros da flotilha</t>
  </si>
  <si>
    <t>Bazar de Natal</t>
  </si>
  <si>
    <t>Proprietário - desconto 30%</t>
  </si>
  <si>
    <t>Proprietário - desconto 50%</t>
  </si>
  <si>
    <t>Proprietário - desconto 90%</t>
  </si>
  <si>
    <t xml:space="preserve">Veterano pagante </t>
  </si>
  <si>
    <t>proposta 2024 - anual</t>
  </si>
  <si>
    <t>Esportista</t>
  </si>
  <si>
    <t>Novos sócios</t>
  </si>
  <si>
    <t>Férias + encargos</t>
  </si>
  <si>
    <t>13º salario + encargos</t>
  </si>
  <si>
    <t>Férias (1/3 + encargos)</t>
  </si>
  <si>
    <t>proposta mensal</t>
  </si>
  <si>
    <t>Realizado Janeiro</t>
  </si>
  <si>
    <t>%</t>
  </si>
  <si>
    <t>Realizado fevereiro</t>
  </si>
  <si>
    <t>Realizado março</t>
  </si>
  <si>
    <t>Realizado abril</t>
  </si>
  <si>
    <t>Realizado maio</t>
  </si>
  <si>
    <t>Realizado junho</t>
  </si>
  <si>
    <t>Realizado julho</t>
  </si>
  <si>
    <t>Realizado agosto</t>
  </si>
  <si>
    <t>Realizado setembro</t>
  </si>
  <si>
    <t>Realizado outubro</t>
  </si>
  <si>
    <t>Realizado novembro</t>
  </si>
  <si>
    <t>Realizado dezembro</t>
  </si>
  <si>
    <t>Acumulado ano - R$</t>
  </si>
  <si>
    <t>CONFEDERAÇÃO BRAS VELA - ASSOCIAÇÃO GUARAPIRANGA - AMIGOS MARINHA-ACESC</t>
  </si>
  <si>
    <t>Rescisões Contratuais / Acordo</t>
  </si>
  <si>
    <t>aluguel de barcos para a escola de vela / eventos nauticos</t>
  </si>
  <si>
    <t>Combustivel para campeonatos e treinos da flotilha e fretes</t>
  </si>
  <si>
    <t>venda de imobilizado / doações/ receitas diversas</t>
  </si>
  <si>
    <t>ID Categoria</t>
  </si>
  <si>
    <t>Categoria</t>
  </si>
  <si>
    <t>Nome</t>
  </si>
  <si>
    <t>Matrícula</t>
  </si>
  <si>
    <t>Valor</t>
  </si>
  <si>
    <t>SÓCIO AUSENTE</t>
  </si>
  <si>
    <t>CAIO SOARES HUNGRIA E PRADO</t>
  </si>
  <si>
    <t>JOHN MECKIEN</t>
  </si>
  <si>
    <t>JOEL BARBUJIANI SÍGOLO</t>
  </si>
  <si>
    <t>MARIO SCHEEL</t>
  </si>
  <si>
    <t>WALTER ANDRE GONÇALVES DA SILVA</t>
  </si>
  <si>
    <t>MÔNIKA DE SOUSA TAMBKE</t>
  </si>
  <si>
    <t>RICARDO DA FONSECA MEIRELLES DAVIDS</t>
  </si>
  <si>
    <t>FABRIZIO RICCI ROMANO</t>
  </si>
  <si>
    <t>PETER PAUL RICHTER</t>
  </si>
  <si>
    <t>VANESSA SALLES WILHELMSEN</t>
  </si>
  <si>
    <t>GONZALO FERNANDEZ CASTRO</t>
  </si>
  <si>
    <t>CRISTINA COMPARINI BASBAUM</t>
  </si>
  <si>
    <t>ALEXANDER JOHANN KOKOLL</t>
  </si>
  <si>
    <t>GIGLIO CELSO DE CAMPOS PECORARO</t>
  </si>
  <si>
    <t>SÓCIO ESPORTISTA</t>
  </si>
  <si>
    <t>ARTHUR RAPOSO DO AMARAL LOPES</t>
  </si>
  <si>
    <t>ANA MARIA BARRETTO C. GORDINHO</t>
  </si>
  <si>
    <t>ANNE DIETERICH</t>
  </si>
  <si>
    <t>BERNARDO ALMEIDA REY</t>
  </si>
  <si>
    <t>CAETANO HARADA BUHRER</t>
  </si>
  <si>
    <t>CAROLINA WITSIERS</t>
  </si>
  <si>
    <t>ENRICO BEHLING DE LION</t>
  </si>
  <si>
    <t>ENRICO CAVALLARI CIRILLO</t>
  </si>
  <si>
    <t xml:space="preserve">FILIPPO MACHADO BARRAL </t>
  </si>
  <si>
    <t>FRANCISCO TRUMANN HEINZ FIGUEIREDO</t>
  </si>
  <si>
    <t>HENRIQUE CABRERA AMERICANO FERNANDES</t>
  </si>
  <si>
    <t>ISABELA MULLER MOURA</t>
  </si>
  <si>
    <t>MARTIM DE SÁ PESSOA</t>
  </si>
  <si>
    <t>MURILO SEABRA POSMIK ALVES XAVIER</t>
  </si>
  <si>
    <t>PABLO LUIS RODRIGUES BLANCO</t>
  </si>
  <si>
    <t>RAFAEL RODRIGUES COTRIM</t>
  </si>
  <si>
    <t>SANTIAGO HEINZ TRUMANN FIGUEIREDO</t>
  </si>
  <si>
    <t>THOMAS FLEMING BUFF</t>
  </si>
  <si>
    <t>THOMAS VILLAR PIRAS DE OLIVEIRA</t>
  </si>
  <si>
    <t>MALU NAKASHIMA MACHADO</t>
  </si>
  <si>
    <t>SÓCIO HONORARIO</t>
  </si>
  <si>
    <t>LARS SIGURD BJÖRKSTRÖM</t>
  </si>
  <si>
    <t>CLAUDIO BIEKARCK</t>
  </si>
  <si>
    <t>RALPH CONRAD</t>
  </si>
  <si>
    <t>MARGARETE H. J. DIETRICH</t>
  </si>
  <si>
    <t>ROBERT SCHEIDT</t>
  </si>
  <si>
    <t>SÓCIO HONORARIO C/ TITULO</t>
  </si>
  <si>
    <t>REINALDO CONRAD</t>
  </si>
  <si>
    <t>BURKHARD CORDES</t>
  </si>
  <si>
    <t>ALEXANDRE WELTER</t>
  </si>
  <si>
    <t>SÓCIO INDIVIDUAL</t>
  </si>
  <si>
    <t>CRISTINA P. FERRO FUCHS</t>
  </si>
  <si>
    <t>ANDREAS MORGENSTERN KUGLER</t>
  </si>
  <si>
    <t xml:space="preserve">FERNANDA LEÃO DE ALMEIDA </t>
  </si>
  <si>
    <t>SÓCIO PROPRIETÁRIO</t>
  </si>
  <si>
    <t>ALBERTO EDUARDO BECKER</t>
  </si>
  <si>
    <t>PETER JORG SCHALLOWETZ KRATSCHMER</t>
  </si>
  <si>
    <t>GERT PETER LAJUS</t>
  </si>
  <si>
    <t>BERND HERBERT SPRINGER</t>
  </si>
  <si>
    <t>RALPH WALTER CHRISTIAN</t>
  </si>
  <si>
    <t>KLAUS PAPE</t>
  </si>
  <si>
    <t>THOMAS BUDWEG</t>
  </si>
  <si>
    <t>PHILIPPE GOUFFON</t>
  </si>
  <si>
    <t>THOMAS RICHTER</t>
  </si>
  <si>
    <t>MARTIN GEORG SUSEMIHL</t>
  </si>
  <si>
    <t>CHRISTIAN GUARIGLIA</t>
  </si>
  <si>
    <t>CARLOS ALOYSIO DUTRA MENDES</t>
  </si>
  <si>
    <t>SERGE IVO KREIS</t>
  </si>
  <si>
    <t>MARCO AURÉLIO GARDINI LAGÔA</t>
  </si>
  <si>
    <t>LUIS HENRIQUE MOREIRA FERREIRA</t>
  </si>
  <si>
    <t>MARIO ANTONIO PORTO FONSECA</t>
  </si>
  <si>
    <t>PETER MATTHIESSEN GUDMON</t>
  </si>
  <si>
    <t>NAGIB RAIMUNDO RADUAN</t>
  </si>
  <si>
    <t>ERCOLE SPADA NETO</t>
  </si>
  <si>
    <t>ANDRE DE CARVALHO BARRETTO</t>
  </si>
  <si>
    <t>MARK ALBRECHT ESSLE</t>
  </si>
  <si>
    <t>RODRIGO MARTINS PEREIRA FIUZA</t>
  </si>
  <si>
    <t>HAMILTON OLIVEIRA CAMPOS JR</t>
  </si>
  <si>
    <t>SABRINA BIEKARCK</t>
  </si>
  <si>
    <t>RENATO MOURE BORANGA</t>
  </si>
  <si>
    <t>FERNANDO GIOBBI</t>
  </si>
  <si>
    <t>ROGERIO AFIF EL KIK</t>
  </si>
  <si>
    <t>MARCOS HIROSHI IWAMOTO MACHUCA</t>
  </si>
  <si>
    <t>VINCENT GERARD LIESBETH BAKX</t>
  </si>
  <si>
    <t>ELIANE LORENZETTI BEZ CHLEBA</t>
  </si>
  <si>
    <t>BRENO PERSONA MACHADO GOMES</t>
  </si>
  <si>
    <t>LUIS PESSOA M. DA CONCEIÇÃO</t>
  </si>
  <si>
    <t>FABIO SCATENA FERRATONE</t>
  </si>
  <si>
    <t>ADRIAN MEUSBURGER</t>
  </si>
  <si>
    <t>EDUARDO FERNANDEZ DEL PRIORE</t>
  </si>
  <si>
    <t>JAIR RODRIGUES CREMONIN JUNIOR</t>
  </si>
  <si>
    <t>ANTÔNIO JOSÉ L. GONÇALVES JR</t>
  </si>
  <si>
    <t xml:space="preserve">ADRIANA PORTO BENATI PENNA </t>
  </si>
  <si>
    <t>MARCELLO POLONIO</t>
  </si>
  <si>
    <t>MAIA BURMEISTER</t>
  </si>
  <si>
    <t>CARLA SCHMITZBERGER</t>
  </si>
  <si>
    <t>WALTER ADOGLIO JUNIOR</t>
  </si>
  <si>
    <t>MARKUS DURR</t>
  </si>
  <si>
    <t>SIDNEY SECKLER FERREIRA FILHO</t>
  </si>
  <si>
    <t>BRUNO MANZOLI CARUSO</t>
  </si>
  <si>
    <t>RODRIGO MALDONADO MENDONÇA</t>
  </si>
  <si>
    <t>RENATA MACHADO MENEGHELO</t>
  </si>
  <si>
    <t>MARCOS VINICIUS BUSOLI CASCINO</t>
  </si>
  <si>
    <t>RONALDO REIMER</t>
  </si>
  <si>
    <t>ARMANDO DE AZEVEDO HENRIQUES</t>
  </si>
  <si>
    <t>LUIS ANDRE GRANDA BUENO</t>
  </si>
  <si>
    <t>RICARDO MARTINS DA COSTA LINO</t>
  </si>
  <si>
    <t>CAROLINA JESSICA DOMSCHKE SACCONI</t>
  </si>
  <si>
    <t>ALEXANDER MINNS</t>
  </si>
  <si>
    <t>PEDRO GUERRA LOPES</t>
  </si>
  <si>
    <t>ROBERTO DE SOUZA MARTINS NETO</t>
  </si>
  <si>
    <t>MARCIO SANTOS DE LACERDA SOARES</t>
  </si>
  <si>
    <t>ANDREAS WARKENTIN</t>
  </si>
  <si>
    <t>SANDRA REGINA FIRMO</t>
  </si>
  <si>
    <t>DAG DURRICH</t>
  </si>
  <si>
    <t xml:space="preserve">OLIVIER NOEL CHRISTIAN FRANÇOIS ANQUIER </t>
  </si>
  <si>
    <t>RICARDO GUNTER BEHNING</t>
  </si>
  <si>
    <t>DAVID ANTONIO SILVA DIAS</t>
  </si>
  <si>
    <t>RODRIGO BLANCO DUMARCO</t>
  </si>
  <si>
    <t>JAMES KLEIN MELCHIORETTO</t>
  </si>
  <si>
    <t>DIEGO EL-JAICK RAPOZO</t>
  </si>
  <si>
    <t>LUIZ FELIPE COSTA MONTEIRO DA FONSECA</t>
  </si>
  <si>
    <t>FERNANDO BOCCIARELLI</t>
  </si>
  <si>
    <t>DANIEL DE AVILA VIO</t>
  </si>
  <si>
    <t>ANTÔNIO M. J. R. DIAS FARINHA</t>
  </si>
  <si>
    <t>CHARLES DAVID CRADDOCK</t>
  </si>
  <si>
    <t>FABIO FERREIRA GOULART</t>
  </si>
  <si>
    <t>SANDRA ETT BICEGO</t>
  </si>
  <si>
    <t>ANDRE GUILHERME SCHWARZ</t>
  </si>
  <si>
    <t>SERGIO BUENO DA COSTA PRANDINI</t>
  </si>
  <si>
    <t>RICARDO DIDIER</t>
  </si>
  <si>
    <t>LUIZ FELIPE AMARAL CALABRÓ</t>
  </si>
  <si>
    <t>JULIO FERNANDO GUERRA</t>
  </si>
  <si>
    <t>ROBERTO SOARES FRAGOSO</t>
  </si>
  <si>
    <t>PAULOS PAPADIMITRIOU</t>
  </si>
  <si>
    <t>ALBERTO HENRIQUE KUNATH</t>
  </si>
  <si>
    <t>MARIO GHIO JUNIOR</t>
  </si>
  <si>
    <t>LUIS FERNANDO STAUB</t>
  </si>
  <si>
    <t>AXEL VOLKER</t>
  </si>
  <si>
    <t>BRUNO BARZAGUI FICKER</t>
  </si>
  <si>
    <t>PEDRO RUBINSTEINN SOARES</t>
  </si>
  <si>
    <t>RENATA DUTRA DE MORICZ</t>
  </si>
  <si>
    <t>VALTER STEFANO MOTTA</t>
  </si>
  <si>
    <t>DANIEL MENDONÇA PARETO</t>
  </si>
  <si>
    <t>FLAVIO GONÇALVES PITANGA MAIA</t>
  </si>
  <si>
    <t>LORENZO STAGLIENO CASAGNINO</t>
  </si>
  <si>
    <t>ERIK JANIS MICHEL VON FRITSCH</t>
  </si>
  <si>
    <t>NICOLAS PEREIRA GARCIA</t>
  </si>
  <si>
    <t>MARCELO FUCHS</t>
  </si>
  <si>
    <t>IAN DAVID HILL</t>
  </si>
  <si>
    <t>RAFAEL MATHIAS SUGAI</t>
  </si>
  <si>
    <t>ELODYE LORENZETTI BEZ CHLEBA</t>
  </si>
  <si>
    <t>MARCELLO BLOISI</t>
  </si>
  <si>
    <t>BEATRIZ DIAS PACHECO MARTINS</t>
  </si>
  <si>
    <t>DANIEL AZEVEDO RANGEL</t>
  </si>
  <si>
    <t>ROBERT VAN HOORN</t>
  </si>
  <si>
    <t>CORRADO BADALASSI</t>
  </si>
  <si>
    <t>GUILHERME GAMA DE SOUSA RAMALHO</t>
  </si>
  <si>
    <t>RODRIGO MACHADO DASSIE</t>
  </si>
  <si>
    <t>RAFAEL MOREIRA PALMA</t>
  </si>
  <si>
    <t>GUSTAVO KLEIN PIOVESAN</t>
  </si>
  <si>
    <t>ROGÉRIO VASONE DE CASTRO CONDE</t>
  </si>
  <si>
    <t>ALESSANDRA NOBREGA DE MOURA MIRANDA</t>
  </si>
  <si>
    <t>JOSE AGNALDO ANDRADE JUNIOR</t>
  </si>
  <si>
    <t>FELIPE BRASIL ALBUQUERQUE DE GÓES</t>
  </si>
  <si>
    <t>CARLOS CAPUZZO</t>
  </si>
  <si>
    <t>RENATO DE FREITAS SARTOR</t>
  </si>
  <si>
    <t>RUBENS VASCONCELLOS OLIVA</t>
  </si>
  <si>
    <t>RICARDO LOWY</t>
  </si>
  <si>
    <t>FELIPE VIVELA FREY</t>
  </si>
  <si>
    <t>JOANA RAMOS FRANÇA</t>
  </si>
  <si>
    <t>RONALDO DE BARROS BARRETO FILHO</t>
  </si>
  <si>
    <t xml:space="preserve">FELIPE E. OTTO DE MEIRELLES FREIRE </t>
  </si>
  <si>
    <t>PATRICIA CESÁRIO DE FARIA ALVIM</t>
  </si>
  <si>
    <t>RONALDO FERNANDO SERPA</t>
  </si>
  <si>
    <t>JOSÉ MARIA CARRI</t>
  </si>
  <si>
    <t>FABIO COTRIM DA C. BARBOSA</t>
  </si>
  <si>
    <t>PAUL KIESSLING</t>
  </si>
  <si>
    <t>LORENZ ERICH MEILI</t>
  </si>
  <si>
    <t>PEDRO VELLINHO ENGLERT</t>
  </si>
  <si>
    <t>PETER GOTTSCHALK JUNIOR</t>
  </si>
  <si>
    <t>ROGER PETER JOSÉ MICHAELIS</t>
  </si>
  <si>
    <t>FLAVIO DIAS PATRÍCIO</t>
  </si>
  <si>
    <t>MAURICIO JOSÉ PRADO SILVA</t>
  </si>
  <si>
    <t>GLAUBER PINHEIRO DA CRUZ</t>
  </si>
  <si>
    <t>CHRISTOPH HEINRICH VON BECKEDORFF</t>
  </si>
  <si>
    <t>RENATO MICHEL BOSSO</t>
  </si>
  <si>
    <t>FABRICIO MEJORADO ESCOBAR</t>
  </si>
  <si>
    <t>RONY TRENTIN VIDIGAL</t>
  </si>
  <si>
    <t>PATRICK ARIPPOL</t>
  </si>
  <si>
    <t>CHRISTIAN GUIMARÃES DAMBOCK</t>
  </si>
  <si>
    <t>ERNESTO ARY NEUGEBAUER</t>
  </si>
  <si>
    <t>BRENO LAGE MADEIRA</t>
  </si>
  <si>
    <t>KARLA ELISABETH HELLNER</t>
  </si>
  <si>
    <t>CHRISTIAN HELLNER</t>
  </si>
  <si>
    <t>PATRÍCIA LOWY</t>
  </si>
  <si>
    <t>BRENO CHVAICER</t>
  </si>
  <si>
    <t>FRANCISCO XAVIER BALLUS SABADELL</t>
  </si>
  <si>
    <t>KENNETH GERD BUTTLER</t>
  </si>
  <si>
    <t>FLAVIO FERREIRA LISBOA</t>
  </si>
  <si>
    <t>ANDRÉ LOURENÇO AGNELLO KRIZAK</t>
  </si>
  <si>
    <t>ALEJANDRO AGUSTIN CARRI ZOBOLI</t>
  </si>
  <si>
    <t>HENRIQUE GOMES DOS REIS</t>
  </si>
  <si>
    <t>ANACLETO LOPES DA SILVA JUNIOR</t>
  </si>
  <si>
    <t>FREDDY POETSCHER</t>
  </si>
  <si>
    <t>PAULO AUGUSTO FURTADO MENDONÇA</t>
  </si>
  <si>
    <t>RICARDO CANEPA BARBOSA</t>
  </si>
  <si>
    <t>BETTINA ANN GUDMON MITTEMPERGHER</t>
  </si>
  <si>
    <t>RAFAEL LIMA GUIMARÃES</t>
  </si>
  <si>
    <t>GEORG ALFONSO EHRENSPERGER</t>
  </si>
  <si>
    <t>FRANCISCO INÁCIO DOMSCHKE SACCONI</t>
  </si>
  <si>
    <t>MARIO CANDIDO FERREIRA JUNIOR</t>
  </si>
  <si>
    <t>PETER SERGIO PONDORF</t>
  </si>
  <si>
    <t>EDUARDO GENARO MUTARELLI</t>
  </si>
  <si>
    <t>CARLOS EDUARDO WANDERLEY</t>
  </si>
  <si>
    <t>MARCELO BATISTA DA SILVA</t>
  </si>
  <si>
    <t>MARTIN CAIO GUDMON</t>
  </si>
  <si>
    <t>ENRICO FRANCAVILLA</t>
  </si>
  <si>
    <t>FÁBIO GIOBBI</t>
  </si>
  <si>
    <t>LARS REIBEL</t>
  </si>
  <si>
    <t>FABIO BARBOSA BODRA</t>
  </si>
  <si>
    <t>ALEXANDRE FERREIRA SALGADO</t>
  </si>
  <si>
    <t>RODRIGO JULIAN</t>
  </si>
  <si>
    <t>DIRK HEINKE</t>
  </si>
  <si>
    <t xml:space="preserve">FRANK SAUER </t>
  </si>
  <si>
    <t>JOSÉ ANTÔNIO JABUR DA CUNHA</t>
  </si>
  <si>
    <t>ANA CAROLINA CERQUEIRA DUQUE</t>
  </si>
  <si>
    <t>MARK HEINKE</t>
  </si>
  <si>
    <t xml:space="preserve">RICARDO DE PAULA COSTA </t>
  </si>
  <si>
    <t>RICHARD KRATSCHMER</t>
  </si>
  <si>
    <t xml:space="preserve">LUIS FELIPE ECHENIQUE WIELAND </t>
  </si>
  <si>
    <t xml:space="preserve">CHRISTIAN DE LIMA RAMOS </t>
  </si>
  <si>
    <t>RAINER CHRISTIAN RÕSSGER</t>
  </si>
  <si>
    <t>PAULO ROBERTO BELLOTTI</t>
  </si>
  <si>
    <t>JOÃO LUIZ MOSER SEMCZYSZEN</t>
  </si>
  <si>
    <t>ANDREAS BURMEISTER</t>
  </si>
  <si>
    <t>MARION SCHEEL</t>
  </si>
  <si>
    <t>IAGO WHATELY</t>
  </si>
  <si>
    <t>PAULO CARVALHO DA FONSECA</t>
  </si>
  <si>
    <t>RICARDO FILIPE MACHADO SANTOS</t>
  </si>
  <si>
    <t>GUILHERME LEHTO GOMES</t>
  </si>
  <si>
    <t>GUSTAVO LEHTO GOMES</t>
  </si>
  <si>
    <t>THOMAS BUSSIUS</t>
  </si>
  <si>
    <t>RAFAEL PEDRO PELLICCIOTTA</t>
  </si>
  <si>
    <t>ERIK VAN EYKEN PEEK</t>
  </si>
  <si>
    <t>RICARDO FRANCISCO PEREIRA CIMINO</t>
  </si>
  <si>
    <t>BRAD CRAIGHILL HAYNES</t>
  </si>
  <si>
    <t>BRUNO KLEIN NEVES DA SILVA</t>
  </si>
  <si>
    <t>OLAVO EGYDIO DE SOUZA ARANHA</t>
  </si>
  <si>
    <t>MAURIZIO MAZZAFERRO</t>
  </si>
  <si>
    <t>LORENZO MAGNELLI</t>
  </si>
  <si>
    <t>MARCELO C. DA COSTA SANTOS</t>
  </si>
  <si>
    <t>JAIRO MELGES CANONA</t>
  </si>
  <si>
    <t>CAROLINA GARCIA</t>
  </si>
  <si>
    <t>GEORG ALLAN LOWY</t>
  </si>
  <si>
    <t>CHRISTIAN PONS CASAL DE REY</t>
  </si>
  <si>
    <t>FERNANDO GOMES DE SOUZA AYRES</t>
  </si>
  <si>
    <t>LUIS CARLOS CASTELLARI</t>
  </si>
  <si>
    <t>VOLNYS BORGES BERNAL</t>
  </si>
  <si>
    <t>MARCELO MÜLLER PERPÉTUO</t>
  </si>
  <si>
    <t>JOSÉ EDWIN MURRAY JR.</t>
  </si>
  <si>
    <t>JOÃO CARLOS CANTISANI MAZZUCO</t>
  </si>
  <si>
    <t>NUNO FILIPE BONITO MONTEIRO</t>
  </si>
  <si>
    <t>EDUARDO CERQUEIRA DO VAL</t>
  </si>
  <si>
    <t>MARCOS FERREIRA GAVIAO</t>
  </si>
  <si>
    <t>ITHAMAR NOGUEIRA STOCCHERO</t>
  </si>
  <si>
    <t>FERNANDO FERREIRA LOPES</t>
  </si>
  <si>
    <t>ARTHUR CANDIDO DE VASCONCELLOS</t>
  </si>
  <si>
    <t>GUILHERME FLOSI STOCCHERO</t>
  </si>
  <si>
    <t>GUSTAVO FLOSI STOCCHERO</t>
  </si>
  <si>
    <t>ALEXANDRE S. F. FONSECA</t>
  </si>
  <si>
    <t>MAURO JUNQUEIRA FRANCO NETO</t>
  </si>
  <si>
    <t>SÓCIO VETERANO</t>
  </si>
  <si>
    <t>WERNER K. ARNOLD</t>
  </si>
  <si>
    <t>MARGIT ANNA MATHILDE AMSINCK</t>
  </si>
  <si>
    <t>HANS ALTENBURG</t>
  </si>
  <si>
    <t>JUERGEN BERNHARD ARNOLD BUDWEG</t>
  </si>
  <si>
    <t>RICHARD GOTTOLOB BAYHA</t>
  </si>
  <si>
    <t>HANS ADOLF BORMANN</t>
  </si>
  <si>
    <t>FERDINAND M. G. BUDWEG</t>
  </si>
  <si>
    <t xml:space="preserve">PETER HERMANN OTTO VON BULDRING </t>
  </si>
  <si>
    <t>ESTER R. BECKER</t>
  </si>
  <si>
    <t>ANTOINE BENJAMIN BAHI</t>
  </si>
  <si>
    <t>ELZI COMPARINI</t>
  </si>
  <si>
    <t>ABILIO SANTOS DINIZ</t>
  </si>
  <si>
    <t>ROLF WALTER DOSTAL</t>
  </si>
  <si>
    <t>MARION TIETZE</t>
  </si>
  <si>
    <t>HANS GUNTHER FLESCH</t>
  </si>
  <si>
    <t>PETER GOTTSCHALK</t>
  </si>
  <si>
    <t xml:space="preserve">HARTMURT HEINRICH GRABERT </t>
  </si>
  <si>
    <t xml:space="preserve">ERICH GROMANN </t>
  </si>
  <si>
    <t>CAIO MATTHIESSEN GUDMON</t>
  </si>
  <si>
    <t>WERNER GROTH</t>
  </si>
  <si>
    <t xml:space="preserve">HELLA GNUGGE </t>
  </si>
  <si>
    <t>SILVIA AMARAL HEYDENREICH</t>
  </si>
  <si>
    <t xml:space="preserve">ERYWALD HERING </t>
  </si>
  <si>
    <t xml:space="preserve">EGON EDMUND HECK </t>
  </si>
  <si>
    <t>HERMANN HARTWIG HELLNER</t>
  </si>
  <si>
    <t>KLAUS HELLNER</t>
  </si>
  <si>
    <t>PEDRO JOSÉ SIMOES JULIAN</t>
  </si>
  <si>
    <t>HANS JOESTING FILHO</t>
  </si>
  <si>
    <t>CHRISTA KIRSCHNER</t>
  </si>
  <si>
    <t>ALBERTO MULLER KOLM</t>
  </si>
  <si>
    <t>RUDOLF OTTO LOIBL</t>
  </si>
  <si>
    <t>ANTONIO CARLOS M. LADEIRA</t>
  </si>
  <si>
    <t>BARBARA MARIANNE MOLL</t>
  </si>
  <si>
    <t>MARILYN R. MANGELS</t>
  </si>
  <si>
    <t>WERNER MITTELDORF</t>
  </si>
  <si>
    <t>ROSALIA PADILHA NAGEL</t>
  </si>
  <si>
    <t>RICHARD NUETZMANN</t>
  </si>
  <si>
    <t>CARSTEN ORBERG</t>
  </si>
  <si>
    <t>HELMUTH PROBST</t>
  </si>
  <si>
    <t>CLÓVIS ORI PUPERI</t>
  </si>
  <si>
    <t>ORNELLA HEINZ PSILLAKIS</t>
  </si>
  <si>
    <t>ALICE LEONORA PAPE</t>
  </si>
  <si>
    <t>HANS JORGE RICHTER</t>
  </si>
  <si>
    <t>HORST WERNER RAMCKE</t>
  </si>
  <si>
    <t>HANS WERNER SCHLUEPMANN</t>
  </si>
  <si>
    <t>DETLEF WERNER SCHULTZE</t>
  </si>
  <si>
    <t>FRITZ HERMANN SCHEIDT</t>
  </si>
  <si>
    <t>NORBERT JULIUS SCHWARZ</t>
  </si>
  <si>
    <t xml:space="preserve">ULRICH A. SCHWAIR </t>
  </si>
  <si>
    <t>INGO SCHULZE-BLANCK</t>
  </si>
  <si>
    <t>GUNTHER KLAUS SCHEIDT</t>
  </si>
  <si>
    <t>MIGUEL D. TRAVERSA</t>
  </si>
  <si>
    <t>HANS GEORG UTHMANN</t>
  </si>
  <si>
    <t>HENRY M. VIGNARD-ROSEZ</t>
  </si>
  <si>
    <t>VERA M. WANDERLEY</t>
  </si>
  <si>
    <t xml:space="preserve">WALTER  ANTONIO WILHELMSEN </t>
  </si>
  <si>
    <t>JOAO CARLOS FEICHTNER</t>
  </si>
  <si>
    <t>ERICK  BEHNING</t>
  </si>
  <si>
    <t>EVA INGE FUCHS</t>
  </si>
  <si>
    <t>SÓCIO VETERANO PAGANTE</t>
  </si>
  <si>
    <t>ÂNGELA ETT</t>
  </si>
  <si>
    <t>ERNESTO REIBEL</t>
  </si>
  <si>
    <t>Total 2024</t>
  </si>
  <si>
    <t xml:space="preserve">Veterano </t>
  </si>
  <si>
    <t>Honorário e honorário com título</t>
  </si>
  <si>
    <t>No orçamento considerei a entrada de 7 novos sócios (taxa de transferência e título) e de em média 3 novos sócios em parte do ano (considerando que também tem saída de sócios)</t>
  </si>
  <si>
    <t>PROPOSTA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</si>
</sst>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1"/>
      <color rgb="FFFF0000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9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43" fontId="0" fillId="0" borderId="0" xfId="1" applyFont="1" applyBorder="1"/>
    <xf numFmtId="0" fontId="0" fillId="0" borderId="2" xfId="0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2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44" fontId="2" fillId="0" borderId="0" xfId="3" applyFont="1" applyAlignment="1">
      <alignment horizontal="center"/>
    </xf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" fontId="0" fillId="0" borderId="0" xfId="0" applyNumberFormat="1" applyAlignment="1">
      <alignment horizontal="left" indent="1"/>
    </xf>
    <xf numFmtId="0" fontId="0" fillId="0" borderId="0" xfId="0" applyAlignment="1">
      <alignment horizontal="left" indent="1"/>
    </xf>
    <xf numFmtId="0" fontId="0" fillId="0" borderId="1" xfId="0" applyBorder="1"/>
    <xf numFmtId="4" fontId="0" fillId="0" borderId="0" xfId="0" applyNumberFormat="1" applyAlignment="1">
      <alignment horizontal="left" indent="2"/>
    </xf>
    <xf numFmtId="0" fontId="0" fillId="0" borderId="0" xfId="0" applyAlignment="1">
      <alignment horizontal="left" indent="2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left" indent="1"/>
    </xf>
    <xf numFmtId="4" fontId="0" fillId="0" borderId="8" xfId="0" applyNumberFormat="1" applyBorder="1"/>
    <xf numFmtId="0" fontId="0" fillId="0" borderId="7" xfId="0" applyBorder="1" applyAlignment="1">
      <alignment horizontal="left" indent="2"/>
    </xf>
    <xf numFmtId="43" fontId="0" fillId="0" borderId="8" xfId="1" applyFont="1" applyBorder="1"/>
    <xf numFmtId="4" fontId="0" fillId="0" borderId="7" xfId="0" applyNumberFormat="1" applyBorder="1" applyAlignment="1">
      <alignment horizontal="left" indent="1"/>
    </xf>
    <xf numFmtId="0" fontId="0" fillId="0" borderId="9" xfId="0" applyBorder="1"/>
    <xf numFmtId="4" fontId="0" fillId="0" borderId="10" xfId="0" applyNumberFormat="1" applyBorder="1"/>
    <xf numFmtId="4" fontId="3" fillId="0" borderId="7" xfId="0" applyNumberFormat="1" applyFont="1" applyBorder="1" applyAlignment="1">
      <alignment horizontal="center"/>
    </xf>
    <xf numFmtId="0" fontId="0" fillId="4" borderId="0" xfId="0" applyFill="1"/>
    <xf numFmtId="43" fontId="0" fillId="4" borderId="0" xfId="0" applyNumberFormat="1" applyFill="1"/>
    <xf numFmtId="167" fontId="0" fillId="0" borderId="0" xfId="2" applyNumberFormat="1" applyFont="1" applyBorder="1" applyAlignment="1">
      <alignment horizontal="center"/>
    </xf>
    <xf numFmtId="0" fontId="0" fillId="4" borderId="1" xfId="0" applyFill="1" applyBorder="1"/>
    <xf numFmtId="44" fontId="0" fillId="0" borderId="1" xfId="3" applyFont="1" applyBorder="1" applyAlignment="1">
      <alignment horizontal="right"/>
    </xf>
    <xf numFmtId="44" fontId="4" fillId="3" borderId="1" xfId="3" applyFont="1" applyFill="1" applyBorder="1" applyAlignment="1">
      <alignment horizontal="right" vertical="center" wrapText="1"/>
    </xf>
    <xf numFmtId="44" fontId="4" fillId="5" borderId="1" xfId="3" applyFont="1" applyFill="1" applyBorder="1" applyAlignment="1">
      <alignment horizontal="right" vertical="center"/>
    </xf>
    <xf numFmtId="44" fontId="4" fillId="6" borderId="1" xfId="3" applyFont="1" applyFill="1" applyBorder="1" applyAlignment="1">
      <alignment horizontal="right" vertical="center"/>
    </xf>
    <xf numFmtId="44" fontId="2" fillId="7" borderId="1" xfId="3" applyFont="1" applyFill="1" applyBorder="1" applyAlignment="1">
      <alignment horizontal="right" vertical="center"/>
    </xf>
    <xf numFmtId="43" fontId="0" fillId="0" borderId="1" xfId="0" applyNumberForma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4" fillId="5" borderId="1" xfId="0" applyFont="1" applyFill="1" applyBorder="1" applyAlignment="1">
      <alignment vertical="center" wrapText="1"/>
    </xf>
    <xf numFmtId="164" fontId="4" fillId="5" borderId="1" xfId="1" applyNumberFormat="1" applyFont="1" applyFill="1" applyBorder="1"/>
    <xf numFmtId="0" fontId="2" fillId="6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164" fontId="4" fillId="7" borderId="1" xfId="1" applyNumberFormat="1" applyFont="1" applyFill="1" applyBorder="1"/>
    <xf numFmtId="0" fontId="5" fillId="0" borderId="1" xfId="0" applyFont="1" applyBorder="1" applyAlignment="1">
      <alignment vertical="center" wrapText="1"/>
    </xf>
    <xf numFmtId="166" fontId="0" fillId="0" borderId="0" xfId="0" applyNumberFormat="1"/>
    <xf numFmtId="10" fontId="2" fillId="0" borderId="0" xfId="0" applyNumberFormat="1" applyFont="1" applyAlignment="1">
      <alignment horizontal="center"/>
    </xf>
    <xf numFmtId="0" fontId="2" fillId="8" borderId="0" xfId="0" applyFont="1" applyFill="1" applyAlignment="1">
      <alignment horizontal="center"/>
    </xf>
    <xf numFmtId="165" fontId="2" fillId="8" borderId="0" xfId="0" applyNumberFormat="1" applyFont="1" applyFill="1" applyAlignment="1">
      <alignment horizontal="center"/>
    </xf>
    <xf numFmtId="0" fontId="2" fillId="8" borderId="0" xfId="0" applyFont="1" applyFill="1" applyAlignment="1">
      <alignment horizontal="center" wrapText="1"/>
    </xf>
    <xf numFmtId="166" fontId="2" fillId="8" borderId="0" xfId="0" applyNumberFormat="1" applyFont="1" applyFill="1"/>
    <xf numFmtId="17" fontId="2" fillId="2" borderId="13" xfId="1" applyNumberFormat="1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vertical="center" wrapText="1"/>
    </xf>
    <xf numFmtId="44" fontId="4" fillId="9" borderId="1" xfId="3" applyFont="1" applyFill="1" applyBorder="1" applyAlignment="1">
      <alignment horizontal="right" vertical="center" wrapText="1"/>
    </xf>
    <xf numFmtId="0" fontId="5" fillId="0" borderId="1" xfId="0" applyFont="1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Alignment="1">
      <alignment vertical="center" wrapText="1"/>
    </xf>
    <xf numFmtId="0" fontId="0" fillId="0" borderId="0" xfId="0" applyFill="1"/>
    <xf numFmtId="44" fontId="0" fillId="0" borderId="1" xfId="3" applyFont="1" applyFill="1" applyBorder="1"/>
    <xf numFmtId="44" fontId="0" fillId="0" borderId="1" xfId="3" applyFont="1" applyBorder="1"/>
    <xf numFmtId="166" fontId="0" fillId="0" borderId="0" xfId="0" applyNumberFormat="1" applyAlignment="1">
      <alignment horizontal="center"/>
    </xf>
    <xf numFmtId="17" fontId="2" fillId="2" borderId="1" xfId="1" applyNumberFormat="1" applyFont="1" applyFill="1" applyBorder="1" applyAlignment="1">
      <alignment horizontal="center" vertical="center" wrapText="1"/>
    </xf>
    <xf numFmtId="44" fontId="0" fillId="0" borderId="1" xfId="0" applyNumberFormat="1" applyBorder="1"/>
    <xf numFmtId="44" fontId="0" fillId="4" borderId="1" xfId="0" applyNumberFormat="1" applyFill="1" applyBorder="1"/>
    <xf numFmtId="9" fontId="4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4" fillId="9" borderId="1" xfId="2" applyFont="1" applyFill="1" applyBorder="1" applyAlignment="1">
      <alignment horizontal="right" vertical="center" wrapText="1"/>
    </xf>
    <xf numFmtId="9" fontId="0" fillId="0" borderId="1" xfId="2" applyFont="1" applyFill="1" applyBorder="1"/>
    <xf numFmtId="9" fontId="0" fillId="0" borderId="1" xfId="2" applyFont="1" applyBorder="1"/>
    <xf numFmtId="9" fontId="4" fillId="5" borderId="1" xfId="2" applyFont="1" applyFill="1" applyBorder="1" applyAlignment="1">
      <alignment horizontal="right" vertical="center"/>
    </xf>
    <xf numFmtId="9" fontId="4" fillId="6" borderId="1" xfId="2" applyFont="1" applyFill="1" applyBorder="1" applyAlignment="1">
      <alignment horizontal="right" vertical="center"/>
    </xf>
    <xf numFmtId="9" fontId="0" fillId="4" borderId="1" xfId="2" applyFont="1" applyFill="1" applyBorder="1"/>
    <xf numFmtId="9" fontId="2" fillId="7" borderId="1" xfId="2" applyFont="1" applyFill="1" applyBorder="1" applyAlignment="1">
      <alignment horizontal="right" vertical="center"/>
    </xf>
    <xf numFmtId="44" fontId="0" fillId="0" borderId="0" xfId="0" applyNumberFormat="1"/>
    <xf numFmtId="44" fontId="0" fillId="0" borderId="1" xfId="0" applyNumberFormat="1" applyFill="1" applyBorder="1"/>
    <xf numFmtId="0" fontId="0" fillId="9" borderId="0" xfId="0" applyFill="1"/>
    <xf numFmtId="44" fontId="0" fillId="9" borderId="0" xfId="3" applyFont="1" applyFill="1"/>
    <xf numFmtId="0" fontId="0" fillId="10" borderId="0" xfId="0" applyFill="1"/>
    <xf numFmtId="44" fontId="0" fillId="10" borderId="0" xfId="3" applyFont="1" applyFill="1"/>
    <xf numFmtId="0" fontId="0" fillId="11" borderId="0" xfId="0" applyFill="1"/>
    <xf numFmtId="44" fontId="0" fillId="11" borderId="0" xfId="3" applyFont="1" applyFill="1"/>
    <xf numFmtId="0" fontId="2" fillId="0" borderId="0" xfId="0" applyFont="1"/>
    <xf numFmtId="44" fontId="0" fillId="12" borderId="1" xfId="3" applyFont="1" applyFill="1" applyBorder="1"/>
    <xf numFmtId="0" fontId="2" fillId="13" borderId="0" xfId="0" applyFont="1" applyFill="1"/>
    <xf numFmtId="0" fontId="2" fillId="6" borderId="5" xfId="0" applyFont="1" applyFill="1" applyBorder="1" applyAlignment="1">
      <alignment horizontal="center"/>
    </xf>
    <xf numFmtId="43" fontId="2" fillId="0" borderId="3" xfId="1" applyFont="1" applyBorder="1"/>
    <xf numFmtId="0" fontId="2" fillId="0" borderId="3" xfId="0" applyFont="1" applyBorder="1"/>
    <xf numFmtId="43" fontId="8" fillId="0" borderId="3" xfId="1" applyFont="1" applyBorder="1"/>
    <xf numFmtId="0" fontId="2" fillId="6" borderId="6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6" borderId="12" xfId="0" applyFont="1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5"/>
  <sheetViews>
    <sheetView topLeftCell="B1" zoomScaleNormal="80" workbookViewId="0">
      <selection activeCell="I5" sqref="I5"/>
    </sheetView>
  </sheetViews>
  <sheetFormatPr defaultColWidth="8.7109375" defaultRowHeight="15" x14ac:dyDescent="0.25"/>
  <cols>
    <col min="1" max="1" width="14.28515625" customWidth="1"/>
    <col min="2" max="2" width="34.28515625" bestFit="1" customWidth="1"/>
    <col min="3" max="4" width="13.7109375" bestFit="1" customWidth="1"/>
    <col min="5" max="5" width="22.42578125" customWidth="1"/>
    <col min="6" max="7" width="13.71093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97" t="s">
        <v>0</v>
      </c>
      <c r="C2" s="96"/>
      <c r="D2" s="98"/>
      <c r="E2" s="96" t="s">
        <v>110</v>
      </c>
      <c r="F2" s="96"/>
      <c r="G2" s="96"/>
      <c r="H2" s="92" t="s">
        <v>140</v>
      </c>
    </row>
    <row r="3" spans="2:13" x14ac:dyDescent="0.25">
      <c r="B3" s="21"/>
      <c r="D3" s="22"/>
      <c r="H3" s="13"/>
    </row>
    <row r="4" spans="2:13" x14ac:dyDescent="0.25">
      <c r="B4" s="23" t="s">
        <v>1</v>
      </c>
      <c r="C4" s="4">
        <f>SUM(C6:C18)+0.3</f>
        <v>6061358.1460766671</v>
      </c>
      <c r="D4" s="24"/>
      <c r="E4" s="17" t="s">
        <v>139</v>
      </c>
      <c r="F4" s="2">
        <f>SUM(F6:F16)</f>
        <v>5923495.8665729994</v>
      </c>
      <c r="H4" s="93">
        <f>C4-F4</f>
        <v>137862.27950366773</v>
      </c>
      <c r="I4" s="2"/>
      <c r="L4" s="2"/>
      <c r="M4" s="2"/>
    </row>
    <row r="5" spans="2:13" x14ac:dyDescent="0.25">
      <c r="B5" s="23"/>
      <c r="C5" s="4"/>
      <c r="D5" s="22"/>
      <c r="E5" s="17"/>
      <c r="H5" s="93"/>
      <c r="L5" s="2"/>
      <c r="M5" s="2"/>
    </row>
    <row r="6" spans="2:13" x14ac:dyDescent="0.25">
      <c r="B6" s="23" t="s">
        <v>2</v>
      </c>
      <c r="C6" s="4">
        <f>D7+D8</f>
        <v>4371857.2724099997</v>
      </c>
      <c r="D6" s="24"/>
      <c r="E6" s="17" t="s">
        <v>116</v>
      </c>
      <c r="F6" s="2">
        <f>SUM(G7:G11)</f>
        <v>3932484.8825953333</v>
      </c>
      <c r="H6" s="93">
        <f t="shared" ref="H6:H15" si="0">C6-F6</f>
        <v>439372.38981466647</v>
      </c>
      <c r="I6" s="2"/>
    </row>
    <row r="7" spans="2:13" x14ac:dyDescent="0.25">
      <c r="B7" s="25" t="s">
        <v>134</v>
      </c>
      <c r="C7" s="4"/>
      <c r="D7" s="26">
        <f>Budget!AD9</f>
        <v>2606747.8790099998</v>
      </c>
      <c r="E7" s="19" t="s">
        <v>111</v>
      </c>
      <c r="G7" s="4">
        <f>Budget!AD48</f>
        <v>1666442.2500620002</v>
      </c>
      <c r="H7" s="93"/>
      <c r="I7" s="1"/>
    </row>
    <row r="8" spans="2:13" x14ac:dyDescent="0.25">
      <c r="B8" s="25" t="s">
        <v>138</v>
      </c>
      <c r="C8" s="4"/>
      <c r="D8" s="26">
        <f>Budget!AD13</f>
        <v>1765109.3933999999</v>
      </c>
      <c r="E8" s="19" t="s">
        <v>112</v>
      </c>
      <c r="G8" s="4">
        <f>Budget!AD61+Budget!AD63+Budget!AD71+Budget!AD78+Budget!AD138</f>
        <v>1659570.654333333</v>
      </c>
      <c r="H8" s="93"/>
    </row>
    <row r="9" spans="2:13" x14ac:dyDescent="0.25">
      <c r="B9" s="23"/>
      <c r="C9" s="4"/>
      <c r="D9" s="24"/>
      <c r="E9" s="20" t="s">
        <v>113</v>
      </c>
      <c r="G9" s="4">
        <f>Budget!AD142</f>
        <v>408607.31706666661</v>
      </c>
      <c r="H9" s="93"/>
    </row>
    <row r="10" spans="2:13" x14ac:dyDescent="0.25">
      <c r="B10" s="30" t="e">
        <f>D7+SUM(Budget!#REF!)</f>
        <v>#REF!</v>
      </c>
      <c r="C10" s="4"/>
      <c r="D10" s="24"/>
      <c r="E10" s="20" t="s">
        <v>114</v>
      </c>
      <c r="G10" s="4">
        <f>Budget!AD148</f>
        <v>49890.20886666666</v>
      </c>
      <c r="H10" s="93"/>
    </row>
    <row r="11" spans="2:13" x14ac:dyDescent="0.25">
      <c r="B11" s="23"/>
      <c r="C11" s="4"/>
      <c r="D11" s="24"/>
      <c r="E11" s="20" t="s">
        <v>115</v>
      </c>
      <c r="G11" s="4">
        <f>Budget!AD101</f>
        <v>147974.45226666669</v>
      </c>
      <c r="H11" s="93"/>
    </row>
    <row r="12" spans="2:13" x14ac:dyDescent="0.25">
      <c r="B12" s="23"/>
      <c r="D12" s="22"/>
      <c r="E12" s="17"/>
      <c r="H12" s="94"/>
    </row>
    <row r="13" spans="2:13" x14ac:dyDescent="0.25">
      <c r="B13" s="23" t="s">
        <v>117</v>
      </c>
      <c r="C13" s="4">
        <f>Budget!AD22</f>
        <v>760982.26453333336</v>
      </c>
      <c r="D13" s="24"/>
      <c r="E13" s="16"/>
      <c r="F13" s="4">
        <f>Budget!AD107</f>
        <v>488854.32692666666</v>
      </c>
      <c r="H13" s="93">
        <f t="shared" si="0"/>
        <v>272127.9376066667</v>
      </c>
      <c r="I13" s="2"/>
    </row>
    <row r="14" spans="2:13" x14ac:dyDescent="0.25">
      <c r="B14" s="23" t="s">
        <v>118</v>
      </c>
      <c r="C14" s="4">
        <f>Budget!AD34</f>
        <v>755600.36126666667</v>
      </c>
      <c r="D14" s="24"/>
      <c r="E14" s="16"/>
      <c r="F14" s="4">
        <f>Budget!AD124</f>
        <v>1317860.240301</v>
      </c>
      <c r="H14" s="95">
        <f t="shared" si="0"/>
        <v>-562259.87903433328</v>
      </c>
      <c r="I14" s="2"/>
    </row>
    <row r="15" spans="2:13" x14ac:dyDescent="0.25">
      <c r="B15" s="23" t="s">
        <v>150</v>
      </c>
      <c r="C15" s="4">
        <f>Budget!AD41</f>
        <v>104638.66499999999</v>
      </c>
      <c r="D15" s="24"/>
      <c r="E15" s="16"/>
      <c r="F15" s="4">
        <f>Budget!AD87</f>
        <v>184296.41675</v>
      </c>
      <c r="H15" s="95">
        <f t="shared" si="0"/>
        <v>-79657.75175000001</v>
      </c>
      <c r="I15" s="2"/>
    </row>
    <row r="16" spans="2:13" x14ac:dyDescent="0.25">
      <c r="B16" s="27"/>
      <c r="C16" s="4"/>
      <c r="D16" s="24"/>
      <c r="E16" s="16"/>
      <c r="F16" s="4"/>
      <c r="H16" s="14"/>
      <c r="I16" s="2"/>
    </row>
    <row r="17" spans="2:9" x14ac:dyDescent="0.25">
      <c r="B17" s="27"/>
      <c r="C17" s="4"/>
      <c r="D17" s="24"/>
      <c r="E17" s="1"/>
      <c r="F17" s="4"/>
      <c r="H17" s="14"/>
      <c r="I17" s="2"/>
    </row>
    <row r="18" spans="2:9" x14ac:dyDescent="0.25">
      <c r="B18" s="23" t="s">
        <v>108</v>
      </c>
      <c r="C18" s="4">
        <f>Budget!AD27</f>
        <v>68279.282866666661</v>
      </c>
      <c r="D18" s="24"/>
      <c r="G18" s="4"/>
      <c r="H18" s="14"/>
    </row>
    <row r="19" spans="2:9" ht="15.75" thickBot="1" x14ac:dyDescent="0.3">
      <c r="B19" s="28"/>
      <c r="C19" s="5"/>
      <c r="D19" s="29"/>
      <c r="E19" s="5"/>
      <c r="F19" s="5"/>
      <c r="G19" s="5"/>
      <c r="H19" s="15"/>
    </row>
    <row r="20" spans="2:9" x14ac:dyDescent="0.25">
      <c r="C20" s="12"/>
    </row>
    <row r="21" spans="2:9" x14ac:dyDescent="0.25">
      <c r="B21" t="s">
        <v>141</v>
      </c>
      <c r="C21" s="33">
        <v>4.4999999999999998E-2</v>
      </c>
    </row>
    <row r="25" spans="2:9" x14ac:dyDescent="0.25">
      <c r="D25" s="31"/>
      <c r="E25" s="31"/>
      <c r="F25" s="32"/>
      <c r="G25" s="31"/>
      <c r="H25" s="31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155"/>
  <sheetViews>
    <sheetView tabSelected="1" topLeftCell="A2" zoomScale="110" zoomScaleNormal="110" workbookViewId="0">
      <pane xSplit="1" ySplit="2" topLeftCell="W141" activePane="bottomRight" state="frozen"/>
      <selection activeCell="A2" sqref="A2"/>
      <selection pane="topRight" activeCell="BG2" sqref="BG2"/>
      <selection pane="bottomLeft" activeCell="A6" sqref="A6"/>
      <selection pane="bottomRight" activeCell="Z154" sqref="Z154"/>
    </sheetView>
  </sheetViews>
  <sheetFormatPr defaultColWidth="8.7109375" defaultRowHeight="15" x14ac:dyDescent="0.25"/>
  <cols>
    <col min="1" max="1" width="78.5703125" customWidth="1"/>
    <col min="2" max="2" width="24.5703125" customWidth="1"/>
    <col min="3" max="3" width="16" customWidth="1"/>
    <col min="4" max="4" width="15.7109375" customWidth="1"/>
    <col min="5" max="5" width="8.7109375" customWidth="1"/>
    <col min="6" max="6" width="15.7109375" customWidth="1"/>
    <col min="7" max="7" width="8.7109375" customWidth="1"/>
    <col min="8" max="8" width="15.7109375" customWidth="1"/>
    <col min="9" max="9" width="8.7109375" customWidth="1"/>
    <col min="10" max="10" width="15.7109375" customWidth="1"/>
    <col min="11" max="11" width="8.7109375" customWidth="1"/>
    <col min="12" max="12" width="15.7109375" customWidth="1"/>
    <col min="13" max="13" width="8.7109375" customWidth="1"/>
    <col min="14" max="14" width="15.7109375" customWidth="1"/>
    <col min="15" max="15" width="8.7109375" customWidth="1"/>
    <col min="16" max="16" width="15.7109375" customWidth="1"/>
    <col min="17" max="17" width="8.7109375" customWidth="1"/>
    <col min="18" max="18" width="15.7109375" customWidth="1"/>
    <col min="19" max="19" width="8.7109375" customWidth="1"/>
    <col min="20" max="20" width="15.7109375" customWidth="1"/>
    <col min="21" max="21" width="8.7109375" customWidth="1"/>
    <col min="22" max="22" width="15.7109375" customWidth="1"/>
    <col min="23" max="23" width="8.7109375" customWidth="1"/>
    <col min="24" max="24" width="15.7109375" customWidth="1"/>
    <col min="25" max="25" width="8.7109375" customWidth="1"/>
    <col min="26" max="26" width="15.7109375" customWidth="1"/>
    <col min="27" max="27" width="8.7109375" customWidth="1"/>
    <col min="28" max="28" width="15.7109375" customWidth="1"/>
    <col min="30" max="30" width="18.85546875" hidden="1" customWidth="1"/>
    <col min="31" max="31" width="14.42578125" hidden="1" customWidth="1"/>
  </cols>
  <sheetData>
    <row r="1" spans="1:31" ht="26.25" customHeight="1" x14ac:dyDescent="0.25"/>
    <row r="2" spans="1:31" ht="26.25" hidden="1" customHeight="1" x14ac:dyDescent="0.25">
      <c r="B2">
        <v>1.06</v>
      </c>
    </row>
    <row r="3" spans="1:31" ht="89.25" customHeight="1" x14ac:dyDescent="0.25">
      <c r="A3" s="41"/>
      <c r="B3" s="58" t="s">
        <v>161</v>
      </c>
      <c r="C3" s="58" t="s">
        <v>167</v>
      </c>
      <c r="D3" s="69" t="s">
        <v>168</v>
      </c>
      <c r="E3" s="69" t="s">
        <v>169</v>
      </c>
      <c r="F3" s="69" t="s">
        <v>170</v>
      </c>
      <c r="G3" s="69" t="s">
        <v>169</v>
      </c>
      <c r="H3" s="69" t="s">
        <v>171</v>
      </c>
      <c r="I3" s="69" t="s">
        <v>169</v>
      </c>
      <c r="J3" s="69" t="s">
        <v>172</v>
      </c>
      <c r="K3" s="69" t="s">
        <v>169</v>
      </c>
      <c r="L3" s="69" t="s">
        <v>173</v>
      </c>
      <c r="M3" s="69" t="s">
        <v>169</v>
      </c>
      <c r="N3" s="69" t="s">
        <v>174</v>
      </c>
      <c r="O3" s="69" t="s">
        <v>169</v>
      </c>
      <c r="P3" s="69" t="s">
        <v>175</v>
      </c>
      <c r="Q3" s="69" t="s">
        <v>169</v>
      </c>
      <c r="R3" s="69" t="s">
        <v>176</v>
      </c>
      <c r="S3" s="69" t="s">
        <v>169</v>
      </c>
      <c r="T3" s="69" t="s">
        <v>177</v>
      </c>
      <c r="U3" s="69" t="s">
        <v>169</v>
      </c>
      <c r="V3" s="69" t="s">
        <v>178</v>
      </c>
      <c r="W3" s="69" t="s">
        <v>169</v>
      </c>
      <c r="X3" s="69" t="s">
        <v>179</v>
      </c>
      <c r="Y3" s="69" t="s">
        <v>169</v>
      </c>
      <c r="Z3" s="69" t="s">
        <v>180</v>
      </c>
      <c r="AA3" s="69" t="s">
        <v>169</v>
      </c>
      <c r="AB3" s="58" t="s">
        <v>181</v>
      </c>
      <c r="AC3" s="69" t="s">
        <v>169</v>
      </c>
      <c r="AD3" s="58" t="s">
        <v>527</v>
      </c>
      <c r="AE3" s="91">
        <v>1.0449999999999999</v>
      </c>
    </row>
    <row r="4" spans="1:31" x14ac:dyDescent="0.25">
      <c r="A4" s="42" t="s">
        <v>0</v>
      </c>
      <c r="B4" s="36">
        <v>5089266.5577700008</v>
      </c>
      <c r="C4" s="36">
        <f>B4/12</f>
        <v>424105.54648083338</v>
      </c>
      <c r="D4" s="36">
        <f>D6+D29</f>
        <v>439061.0149999999</v>
      </c>
      <c r="E4" s="72">
        <f>D4/$B4</f>
        <v>8.6271962770286939E-2</v>
      </c>
      <c r="F4" s="36">
        <f>F6+F29</f>
        <v>437496.46940000006</v>
      </c>
      <c r="G4" s="72">
        <f>F4/$B4</f>
        <v>8.5964542126813051E-2</v>
      </c>
      <c r="H4" s="36">
        <f>H6+H29</f>
        <v>460928.86800000002</v>
      </c>
      <c r="I4" s="72">
        <f>H4/$B4</f>
        <v>9.0568820235261638E-2</v>
      </c>
      <c r="J4" s="36">
        <f>J6+J29</f>
        <v>503562.84160000004</v>
      </c>
      <c r="K4" s="72">
        <f>J4/$B4</f>
        <v>9.8946053598074776E-2</v>
      </c>
      <c r="L4" s="36">
        <f>L6+L29</f>
        <v>450789.68940000003</v>
      </c>
      <c r="M4" s="72">
        <f>L4/$B4</f>
        <v>8.8576553081457315E-2</v>
      </c>
      <c r="N4" s="36">
        <f>N6+N29</f>
        <v>498008.97240000003</v>
      </c>
      <c r="O4" s="72">
        <f>N4/$B4</f>
        <v>9.785476291071224E-2</v>
      </c>
      <c r="P4" s="36">
        <f>P6+P29</f>
        <v>436709.77060000005</v>
      </c>
      <c r="Q4" s="72">
        <f>P4/$B4</f>
        <v>8.5809962131627116E-2</v>
      </c>
      <c r="R4" s="36">
        <f>R6+R29</f>
        <v>468962.63219999999</v>
      </c>
      <c r="S4" s="72">
        <f>R4/$B4</f>
        <v>9.2147390370821647E-2</v>
      </c>
      <c r="T4" s="36">
        <f>T6+T29</f>
        <v>426971.55739999993</v>
      </c>
      <c r="U4" s="72">
        <f>T4/$B4</f>
        <v>8.3896481458241606E-2</v>
      </c>
      <c r="V4" s="36">
        <f>V6+V29</f>
        <v>441165.21640000003</v>
      </c>
      <c r="W4" s="72">
        <f>V4/$B4</f>
        <v>8.6685421443774488E-2</v>
      </c>
      <c r="X4" s="36">
        <f>X6+X29</f>
        <v>416267.50320000004</v>
      </c>
      <c r="Y4" s="72">
        <f>X4/$B4</f>
        <v>8.1793220786297124E-2</v>
      </c>
      <c r="Z4" s="36">
        <f>Z6+Z29</f>
        <v>456031.4816</v>
      </c>
      <c r="AA4" s="72">
        <f>Z4/$B4</f>
        <v>8.9606523145021211E-2</v>
      </c>
      <c r="AB4" s="36">
        <f>AB6+AB29</f>
        <v>5417516.0172000006</v>
      </c>
      <c r="AC4" s="72">
        <f>AB4/$B4</f>
        <v>1.064498382174313</v>
      </c>
      <c r="AD4" s="36">
        <f>AD6+AD29</f>
        <v>6367772.3414766677</v>
      </c>
    </row>
    <row r="5" spans="1:31" x14ac:dyDescent="0.25">
      <c r="A5" s="40"/>
      <c r="B5" s="35"/>
      <c r="C5" s="35"/>
      <c r="D5" s="35"/>
      <c r="E5" s="73"/>
      <c r="F5" s="35"/>
      <c r="G5" s="73"/>
      <c r="H5" s="35"/>
      <c r="I5" s="73"/>
      <c r="J5" s="35"/>
      <c r="K5" s="73"/>
      <c r="L5" s="35"/>
      <c r="M5" s="73"/>
      <c r="N5" s="35"/>
      <c r="O5" s="73"/>
      <c r="P5" s="35"/>
      <c r="Q5" s="73"/>
      <c r="R5" s="35"/>
      <c r="S5" s="73"/>
      <c r="T5" s="35"/>
      <c r="U5" s="73"/>
      <c r="V5" s="35"/>
      <c r="W5" s="73"/>
      <c r="X5" s="35"/>
      <c r="Y5" s="73"/>
      <c r="Z5" s="35"/>
      <c r="AA5" s="73"/>
      <c r="AB5" s="35"/>
      <c r="AC5" s="73"/>
      <c r="AD5" s="35"/>
    </row>
    <row r="6" spans="1:31" x14ac:dyDescent="0.25">
      <c r="A6" s="42" t="s">
        <v>1</v>
      </c>
      <c r="B6" s="36">
        <v>4869266.5577700008</v>
      </c>
      <c r="C6" s="36">
        <f>B6/12</f>
        <v>405772.21314750006</v>
      </c>
      <c r="D6" s="36">
        <f>D8+D22+D27+D34+D41</f>
        <v>405184.42499999993</v>
      </c>
      <c r="E6" s="72">
        <f t="shared" ref="E6:G67" si="0">D6/$B6</f>
        <v>8.3212619435146309E-2</v>
      </c>
      <c r="F6" s="36">
        <f>F8+F22+F27+F34+F41</f>
        <v>395530.37940000003</v>
      </c>
      <c r="G6" s="72">
        <f t="shared" si="0"/>
        <v>8.1229970614125263E-2</v>
      </c>
      <c r="H6" s="36">
        <f>H8+H22+H27+H34+H41</f>
        <v>426467.07800000004</v>
      </c>
      <c r="I6" s="72">
        <f t="shared" ref="I6" si="1">H6/$B6</f>
        <v>8.7583432317846044E-2</v>
      </c>
      <c r="J6" s="36">
        <f>J8+J22+J27+J34+J41</f>
        <v>439643.01160000003</v>
      </c>
      <c r="K6" s="72">
        <f t="shared" ref="K6" si="2">J6/$B6</f>
        <v>9.0289370356702189E-2</v>
      </c>
      <c r="L6" s="36">
        <f>L8+L22+L27+L34+L41</f>
        <v>420318.09940000001</v>
      </c>
      <c r="M6" s="72">
        <f t="shared" ref="M6" si="3">L6/$B6</f>
        <v>8.6320618190287551E-2</v>
      </c>
      <c r="N6" s="36">
        <f>N8+N22+N27+N34+N41</f>
        <v>494535.3824</v>
      </c>
      <c r="O6" s="72">
        <f t="shared" ref="O6" si="4">N6/$B6</f>
        <v>0.10156260219742098</v>
      </c>
      <c r="P6" s="36">
        <f>P8+P22+P27+P34+P41</f>
        <v>406097.18060000002</v>
      </c>
      <c r="Q6" s="72">
        <f t="shared" ref="Q6" si="5">P6/$B6</f>
        <v>8.3400071814097212E-2</v>
      </c>
      <c r="R6" s="36">
        <f>R8+R22+R27+R34+R41</f>
        <v>387805.04219999997</v>
      </c>
      <c r="S6" s="72">
        <f t="shared" ref="S6" si="6">R6/$B6</f>
        <v>7.964342013299118E-2</v>
      </c>
      <c r="T6" s="36">
        <f>T8+T22+T27+T34+T41</f>
        <v>386444.96739999996</v>
      </c>
      <c r="U6" s="72">
        <f t="shared" ref="U6" si="7">T6/$B6</f>
        <v>7.9364101926878663E-2</v>
      </c>
      <c r="V6" s="36">
        <f>V8+V22+V27+V34+V41</f>
        <v>401943.0564</v>
      </c>
      <c r="W6" s="72">
        <f t="shared" ref="W6" si="8">V6/$B6</f>
        <v>8.2546940413153233E-2</v>
      </c>
      <c r="X6" s="36">
        <f>X8+X22+X27+X34+X41</f>
        <v>410341.91320000001</v>
      </c>
      <c r="Y6" s="72">
        <f t="shared" ref="Y6" si="9">X6/$B6</f>
        <v>8.4271811438461505E-2</v>
      </c>
      <c r="Z6" s="36">
        <f>Z8+Z22+Z27+Z34+Z41</f>
        <v>453565.89159999997</v>
      </c>
      <c r="AA6" s="72">
        <f t="shared" ref="AA6" si="10">Z6/$B6</f>
        <v>9.3148708582452611E-2</v>
      </c>
      <c r="AB6" s="36">
        <f>AB8+AB22+AB27+AB34+AB41</f>
        <v>5027876.4272000007</v>
      </c>
      <c r="AC6" s="72">
        <f t="shared" ref="AC6:AC68" si="11">AB6/$B6</f>
        <v>1.0325736674195629</v>
      </c>
      <c r="AD6" s="36">
        <f>AD8+AD22+AD27+AD34+AD41</f>
        <v>6061357.8460766673</v>
      </c>
    </row>
    <row r="7" spans="1:31" x14ac:dyDescent="0.25">
      <c r="A7" s="40"/>
      <c r="B7" s="35"/>
      <c r="C7" s="35"/>
      <c r="D7" s="35"/>
      <c r="E7" s="73"/>
      <c r="F7" s="35"/>
      <c r="G7" s="73"/>
      <c r="H7" s="35"/>
      <c r="I7" s="73"/>
      <c r="J7" s="35"/>
      <c r="K7" s="73"/>
      <c r="L7" s="35"/>
      <c r="M7" s="73"/>
      <c r="N7" s="35"/>
      <c r="O7" s="73"/>
      <c r="P7" s="35"/>
      <c r="Q7" s="73"/>
      <c r="R7" s="35"/>
      <c r="S7" s="73"/>
      <c r="T7" s="35"/>
      <c r="U7" s="73"/>
      <c r="V7" s="35"/>
      <c r="W7" s="73"/>
      <c r="X7" s="35"/>
      <c r="Y7" s="73"/>
      <c r="Z7" s="35"/>
      <c r="AA7" s="73"/>
      <c r="AB7" s="35"/>
      <c r="AC7" s="73"/>
      <c r="AD7" s="35"/>
    </row>
    <row r="8" spans="1:31" x14ac:dyDescent="0.25">
      <c r="A8" s="59" t="s">
        <v>134</v>
      </c>
      <c r="B8" s="60">
        <v>3693483.25447</v>
      </c>
      <c r="C8" s="60">
        <f t="shared" ref="C8:C70" si="12">B8/12</f>
        <v>307790.27120583336</v>
      </c>
      <c r="D8" s="60">
        <f>D9+D13</f>
        <v>314307.28499999997</v>
      </c>
      <c r="E8" s="74">
        <f t="shared" si="0"/>
        <v>8.5097796130417763E-2</v>
      </c>
      <c r="F8" s="60">
        <f>F9+F13</f>
        <v>307215.04940000002</v>
      </c>
      <c r="G8" s="74">
        <f t="shared" si="0"/>
        <v>8.3177593678865652E-2</v>
      </c>
      <c r="H8" s="60">
        <f>H9+H13</f>
        <v>322475.24800000002</v>
      </c>
      <c r="I8" s="74">
        <f t="shared" ref="I8" si="13">H8/$B8</f>
        <v>8.7309248690846955E-2</v>
      </c>
      <c r="J8" s="60">
        <f>J9+J13</f>
        <v>328932.30160000001</v>
      </c>
      <c r="K8" s="74">
        <f t="shared" ref="K8" si="14">J8/$B8</f>
        <v>8.9057477437297999E-2</v>
      </c>
      <c r="L8" s="60">
        <f>L9+L13</f>
        <v>318949.17940000002</v>
      </c>
      <c r="M8" s="74">
        <f t="shared" ref="M8" si="15">L8/$B8</f>
        <v>8.6354575728479363E-2</v>
      </c>
      <c r="N8" s="60">
        <f>N9+N13</f>
        <v>310107.28240000003</v>
      </c>
      <c r="O8" s="74">
        <f t="shared" ref="O8" si="16">N8/$B8</f>
        <v>8.3960657470071337E-2</v>
      </c>
      <c r="P8" s="60">
        <f>P9+P13</f>
        <v>302662.06059999997</v>
      </c>
      <c r="Q8" s="74">
        <f t="shared" ref="Q8" si="17">P8/$B8</f>
        <v>8.1944885017065219E-2</v>
      </c>
      <c r="R8" s="60">
        <f>R9+R13</f>
        <v>319680.87219999998</v>
      </c>
      <c r="S8" s="74">
        <f t="shared" ref="S8" si="18">R8/$B8</f>
        <v>8.6552679455933507E-2</v>
      </c>
      <c r="T8" s="60">
        <f>T9+T13</f>
        <v>311720.52739999996</v>
      </c>
      <c r="U8" s="74">
        <f t="shared" ref="U8" si="19">T8/$B8</f>
        <v>8.4397438927804366E-2</v>
      </c>
      <c r="V8" s="60">
        <f>V9+V13</f>
        <v>316769.53639999998</v>
      </c>
      <c r="W8" s="74">
        <f t="shared" ref="W8" si="20">V8/$B8</f>
        <v>8.5764443636405535E-2</v>
      </c>
      <c r="X8" s="60">
        <f>X9+X13</f>
        <v>316177.24320000003</v>
      </c>
      <c r="Y8" s="74">
        <f t="shared" ref="Y8" si="21">X8/$B8</f>
        <v>8.5604081950919841E-2</v>
      </c>
      <c r="Z8" s="60">
        <f>Z9+Z13</f>
        <v>328808.39159999997</v>
      </c>
      <c r="AA8" s="74">
        <f t="shared" ref="AA8" si="22">Z8/$B8</f>
        <v>8.9023929160112744E-2</v>
      </c>
      <c r="AB8" s="60">
        <f>AB9+AB13</f>
        <v>3797804.9772000005</v>
      </c>
      <c r="AC8" s="74">
        <f t="shared" si="11"/>
        <v>1.0282448072842205</v>
      </c>
      <c r="AD8" s="60">
        <f>AD9+AD13</f>
        <v>4371857.2724099997</v>
      </c>
    </row>
    <row r="9" spans="1:31" x14ac:dyDescent="0.25">
      <c r="A9" s="42" t="s">
        <v>2</v>
      </c>
      <c r="B9" s="36">
        <v>2522388.0104700001</v>
      </c>
      <c r="C9" s="36">
        <f t="shared" si="12"/>
        <v>210199.00087250001</v>
      </c>
      <c r="D9" s="36">
        <f>SUM(D10:D12)</f>
        <v>207928.70499999999</v>
      </c>
      <c r="E9" s="72">
        <f t="shared" si="0"/>
        <v>8.2433275188798699E-2</v>
      </c>
      <c r="F9" s="36">
        <f>SUM(F10:F12)</f>
        <v>206668.87940000001</v>
      </c>
      <c r="G9" s="72">
        <f t="shared" si="0"/>
        <v>8.1933817692659866E-2</v>
      </c>
      <c r="H9" s="36">
        <f>SUM(H10:H12)</f>
        <v>207847.818</v>
      </c>
      <c r="I9" s="72">
        <f t="shared" ref="I9" si="23">H9/$B9</f>
        <v>8.2401207560953885E-2</v>
      </c>
      <c r="J9" s="36">
        <f>SUM(J10:J12)</f>
        <v>208719.6116</v>
      </c>
      <c r="K9" s="72">
        <f t="shared" ref="K9" si="24">J9/$B9</f>
        <v>8.2746829882492573E-2</v>
      </c>
      <c r="L9" s="36">
        <f>SUM(L10:L12)</f>
        <v>204605.10939999999</v>
      </c>
      <c r="M9" s="72">
        <f t="shared" ref="M9" si="25">L9/$B9</f>
        <v>8.1115636670773594E-2</v>
      </c>
      <c r="N9" s="36">
        <f>SUM(N10:N12)</f>
        <v>207287.3524</v>
      </c>
      <c r="O9" s="72">
        <f t="shared" ref="O9" si="26">N9/$B9</f>
        <v>8.2179011135315325E-2</v>
      </c>
      <c r="P9" s="36">
        <f>SUM(P10:P12)</f>
        <v>206929.71059999999</v>
      </c>
      <c r="Q9" s="72">
        <f t="shared" ref="Q9" si="27">P9/$B9</f>
        <v>8.2037224146749133E-2</v>
      </c>
      <c r="R9" s="36">
        <f>SUM(R10:R12)</f>
        <v>207823.78220000002</v>
      </c>
      <c r="S9" s="72">
        <f t="shared" ref="S9" si="28">R9/$B9</f>
        <v>8.2391678574969096E-2</v>
      </c>
      <c r="T9" s="36">
        <f>SUM(T10:T12)</f>
        <v>208270.82739999998</v>
      </c>
      <c r="U9" s="72">
        <f t="shared" ref="U9" si="29">T9/$B9</f>
        <v>8.2568909515706349E-2</v>
      </c>
      <c r="V9" s="36">
        <f>SUM(V10:V12)</f>
        <v>207376.7464</v>
      </c>
      <c r="W9" s="72">
        <f t="shared" ref="W9" si="30">V9/$B9</f>
        <v>8.2214451360859114E-2</v>
      </c>
      <c r="X9" s="36">
        <f>SUM(X10:X12)</f>
        <v>208717.86319999999</v>
      </c>
      <c r="Y9" s="72">
        <f t="shared" ref="Y9" si="31">X9/$B9</f>
        <v>8.2746136729816316E-2</v>
      </c>
      <c r="Z9" s="36">
        <f>SUM(Z10:Z12)</f>
        <v>206654.43159999998</v>
      </c>
      <c r="AA9" s="72">
        <f t="shared" ref="AA9" si="32">Z9/$B9</f>
        <v>8.1928089866512552E-2</v>
      </c>
      <c r="AB9" s="36">
        <f>SUM(AB10:AB12)</f>
        <v>2488830.8372000004</v>
      </c>
      <c r="AC9" s="72">
        <f t="shared" si="11"/>
        <v>0.98669626832560664</v>
      </c>
      <c r="AD9" s="36">
        <f>SUM(AD10:AD12)</f>
        <v>2606747.8790099998</v>
      </c>
    </row>
    <row r="10" spans="1:31" x14ac:dyDescent="0.25">
      <c r="A10" s="62" t="s">
        <v>3</v>
      </c>
      <c r="B10" s="66">
        <v>2557838.3805</v>
      </c>
      <c r="C10" s="66">
        <f t="shared" si="12"/>
        <v>213153.19837500001</v>
      </c>
      <c r="D10" s="82">
        <v>211689.15</v>
      </c>
      <c r="E10" s="75">
        <f t="shared" si="0"/>
        <v>8.2760956131489247E-2</v>
      </c>
      <c r="F10" s="82">
        <v>211341.6</v>
      </c>
      <c r="G10" s="75">
        <f t="shared" si="0"/>
        <v>8.2625079681026392E-2</v>
      </c>
      <c r="H10" s="70">
        <v>210651.94</v>
      </c>
      <c r="I10" s="75">
        <f t="shared" ref="I10" si="33">H10/$B10</f>
        <v>8.2355453575930104E-2</v>
      </c>
      <c r="J10" s="70">
        <v>211579.38</v>
      </c>
      <c r="K10" s="75">
        <f t="shared" ref="K10" si="34">J10/$B10</f>
        <v>8.2718040988438449E-2</v>
      </c>
      <c r="L10" s="70">
        <f>212433.58-4755.75</f>
        <v>207677.83</v>
      </c>
      <c r="M10" s="75">
        <f t="shared" ref="M10" si="35">L10/$B10</f>
        <v>8.1192710056764275E-2</v>
      </c>
      <c r="N10" s="70">
        <v>210531.28</v>
      </c>
      <c r="O10" s="75">
        <f t="shared" ref="O10" si="36">N10/$B10</f>
        <v>8.2308280931669281E-2</v>
      </c>
      <c r="P10" s="70">
        <v>210150.81</v>
      </c>
      <c r="Q10" s="75">
        <f t="shared" ref="Q10" si="37">P10/$B10</f>
        <v>8.215953423879746E-2</v>
      </c>
      <c r="R10" s="70">
        <v>211577.53</v>
      </c>
      <c r="S10" s="75">
        <f t="shared" ref="S10" si="38">R10/$B10</f>
        <v>8.2717317721474393E-2</v>
      </c>
      <c r="T10" s="70">
        <v>212053.11</v>
      </c>
      <c r="U10" s="75">
        <f t="shared" ref="U10" si="39">T10/$B10</f>
        <v>8.2903248155400802E-2</v>
      </c>
      <c r="V10" s="70">
        <v>211101.96</v>
      </c>
      <c r="W10" s="75">
        <f t="shared" ref="W10" si="40">V10/$B10</f>
        <v>8.2531391197099124E-2</v>
      </c>
      <c r="X10" s="70">
        <v>212528.68</v>
      </c>
      <c r="Y10" s="75">
        <f t="shared" ref="Y10" si="41">X10/$B10</f>
        <v>8.3089174679776057E-2</v>
      </c>
      <c r="Z10" s="70">
        <v>210587.18</v>
      </c>
      <c r="AA10" s="75">
        <f t="shared" ref="AA10" si="42">Z10/$B10</f>
        <v>8.2330135322637124E-2</v>
      </c>
      <c r="AB10" s="66">
        <f>D10+F10+H10+J10+L10+N10+P10+R10+T10+V10+X10+Z10</f>
        <v>2531470.4500000002</v>
      </c>
      <c r="AC10" s="75">
        <f t="shared" si="11"/>
        <v>0.98969132268050286</v>
      </c>
      <c r="AD10" s="66">
        <f>Mensalidades!E12+Mensalidades!E20</f>
        <v>2653860.5774999997</v>
      </c>
    </row>
    <row r="11" spans="1:31" x14ac:dyDescent="0.25">
      <c r="A11" s="62" t="s">
        <v>4</v>
      </c>
      <c r="B11" s="66">
        <v>125553.11999999997</v>
      </c>
      <c r="C11" s="66">
        <f t="shared" si="12"/>
        <v>10462.759999999997</v>
      </c>
      <c r="D11" s="82">
        <v>9511.6</v>
      </c>
      <c r="E11" s="75">
        <f t="shared" si="0"/>
        <v>7.5757575757575787E-2</v>
      </c>
      <c r="F11" s="82">
        <v>8518.91</v>
      </c>
      <c r="G11" s="75">
        <f t="shared" si="0"/>
        <v>6.7851041853838459E-2</v>
      </c>
      <c r="H11" s="70">
        <v>10462.76</v>
      </c>
      <c r="I11" s="75">
        <f t="shared" ref="I11" si="43">H11/$B11</f>
        <v>8.3333333333333356E-2</v>
      </c>
      <c r="J11" s="70">
        <v>10462.76</v>
      </c>
      <c r="K11" s="75">
        <f t="shared" ref="K11" si="44">J11/$B11</f>
        <v>8.3333333333333356E-2</v>
      </c>
      <c r="L11" s="70">
        <v>9987.18</v>
      </c>
      <c r="M11" s="75">
        <f t="shared" ref="M11" si="45">L11/$B11</f>
        <v>7.9545454545454572E-2</v>
      </c>
      <c r="N11" s="70">
        <v>9987.18</v>
      </c>
      <c r="O11" s="75">
        <f t="shared" ref="O11" si="46">N11/$B11</f>
        <v>7.9545454545454572E-2</v>
      </c>
      <c r="P11" s="70">
        <v>9987.18</v>
      </c>
      <c r="Q11" s="75">
        <f t="shared" ref="Q11" si="47">P11/$B11</f>
        <v>7.9545454545454572E-2</v>
      </c>
      <c r="R11" s="70">
        <v>9511.6</v>
      </c>
      <c r="S11" s="75">
        <f t="shared" ref="S11" si="48">R11/$B11</f>
        <v>7.5757575757575787E-2</v>
      </c>
      <c r="T11" s="70">
        <v>9511.6</v>
      </c>
      <c r="U11" s="75">
        <f t="shared" ref="U11" si="49">T11/$B11</f>
        <v>7.5757575757575787E-2</v>
      </c>
      <c r="V11" s="70">
        <v>9511.6</v>
      </c>
      <c r="W11" s="75">
        <f t="shared" ref="W11" si="50">V11/$B11</f>
        <v>7.5757575757575787E-2</v>
      </c>
      <c r="X11" s="70">
        <v>9511.6</v>
      </c>
      <c r="Y11" s="75">
        <f t="shared" ref="Y11" si="51">X11/$B11</f>
        <v>7.5757575757575787E-2</v>
      </c>
      <c r="Z11" s="70">
        <v>9257.9599999999991</v>
      </c>
      <c r="AA11" s="75">
        <f t="shared" ref="AA11" si="52">Z11/$B11</f>
        <v>7.3737394976723811E-2</v>
      </c>
      <c r="AB11" s="66">
        <f t="shared" ref="AB11:AB12" si="53">D11+F11+H11+J11+L11+N11+P11+R11+T11+V11+X11+Z11</f>
        <v>116221.93000000002</v>
      </c>
      <c r="AC11" s="75">
        <f t="shared" si="11"/>
        <v>0.92567934592147172</v>
      </c>
      <c r="AD11" s="66">
        <f>Mensalidades!E14</f>
        <v>119275.46399999999</v>
      </c>
    </row>
    <row r="12" spans="1:31" x14ac:dyDescent="0.25">
      <c r="A12" s="18" t="s">
        <v>12</v>
      </c>
      <c r="B12" s="66">
        <v>-161003.49002999999</v>
      </c>
      <c r="C12" s="66">
        <f t="shared" si="12"/>
        <v>-13416.957502499999</v>
      </c>
      <c r="D12" s="70">
        <f>-(SUM(D10:D11))*0.06</f>
        <v>-13272.045</v>
      </c>
      <c r="E12" s="76">
        <f t="shared" si="0"/>
        <v>8.2433275188798727E-2</v>
      </c>
      <c r="F12" s="70">
        <f>-(SUM(F10:F11))*0.06</f>
        <v>-13191.6306</v>
      </c>
      <c r="G12" s="76">
        <f t="shared" si="0"/>
        <v>8.193381769265988E-2</v>
      </c>
      <c r="H12" s="70">
        <f>-(SUM(H10:H11))*0.06</f>
        <v>-13266.882</v>
      </c>
      <c r="I12" s="76">
        <f t="shared" ref="I12" si="54">H12/$B12</f>
        <v>8.2401207560953899E-2</v>
      </c>
      <c r="J12" s="70">
        <f>-(SUM(J10:J11))*0.06</f>
        <v>-13322.528400000001</v>
      </c>
      <c r="K12" s="76">
        <f t="shared" ref="K12" si="55">J12/$B12</f>
        <v>8.2746829882492587E-2</v>
      </c>
      <c r="L12" s="70">
        <f>-(SUM(L10:L11))*0.06</f>
        <v>-13059.900599999999</v>
      </c>
      <c r="M12" s="76">
        <f t="shared" ref="M12" si="56">L12/$B12</f>
        <v>8.1115636670773608E-2</v>
      </c>
      <c r="N12" s="70">
        <f>-(SUM(N10:N11))*0.06</f>
        <v>-13231.107599999999</v>
      </c>
      <c r="O12" s="76">
        <f t="shared" ref="O12" si="57">N12/$B12</f>
        <v>8.2179011135315325E-2</v>
      </c>
      <c r="P12" s="70">
        <f>-(SUM(P10:P11))*0.06</f>
        <v>-13208.279399999999</v>
      </c>
      <c r="Q12" s="76">
        <f t="shared" ref="Q12" si="58">P12/$B12</f>
        <v>8.2037224146749146E-2</v>
      </c>
      <c r="R12" s="70">
        <f>-(SUM(R10:R11))*0.06</f>
        <v>-13265.3478</v>
      </c>
      <c r="S12" s="76">
        <f t="shared" ref="S12" si="59">R12/$B12</f>
        <v>8.2391678574969096E-2</v>
      </c>
      <c r="T12" s="70">
        <f>-(SUM(T10:T11))*0.06</f>
        <v>-13293.882599999999</v>
      </c>
      <c r="U12" s="76">
        <f t="shared" ref="U12" si="60">T12/$B12</f>
        <v>8.2568909515706349E-2</v>
      </c>
      <c r="V12" s="70">
        <f>-(SUM(V10:V11))*0.06</f>
        <v>-13236.813599999999</v>
      </c>
      <c r="W12" s="76">
        <f t="shared" ref="W12" si="61">V12/$B12</f>
        <v>8.2214451360859114E-2</v>
      </c>
      <c r="X12" s="70">
        <f>-(SUM(X10:X11))*0.06</f>
        <v>-13322.416799999999</v>
      </c>
      <c r="Y12" s="76">
        <f t="shared" ref="Y12" si="62">X12/$B12</f>
        <v>8.274613672981633E-2</v>
      </c>
      <c r="Z12" s="70">
        <f>-(SUM(Z10:Z11))*0.06</f>
        <v>-13190.708399999998</v>
      </c>
      <c r="AA12" s="76">
        <f t="shared" ref="AA12" si="63">Z12/$B12</f>
        <v>8.1928089866512566E-2</v>
      </c>
      <c r="AB12" s="66">
        <f t="shared" si="53"/>
        <v>-158861.54280000002</v>
      </c>
      <c r="AC12" s="76">
        <f t="shared" si="11"/>
        <v>0.98669626832560675</v>
      </c>
      <c r="AD12" s="66">
        <f>-(SUM(AD10:AD11))*0.06</f>
        <v>-166388.16248999999</v>
      </c>
    </row>
    <row r="13" spans="1:31" ht="15.75" customHeight="1" x14ac:dyDescent="0.25">
      <c r="A13" s="42" t="s">
        <v>138</v>
      </c>
      <c r="B13" s="36">
        <v>1171095.2440000002</v>
      </c>
      <c r="C13" s="36">
        <f t="shared" si="12"/>
        <v>97591.270333333348</v>
      </c>
      <c r="D13" s="36">
        <f>SUM(D14:D21)</f>
        <v>106378.58</v>
      </c>
      <c r="E13" s="72">
        <f t="shared" si="0"/>
        <v>9.0836830347506725E-2</v>
      </c>
      <c r="F13" s="36">
        <f>SUM(F14:F21)</f>
        <v>100546.17</v>
      </c>
      <c r="G13" s="72">
        <f t="shared" si="0"/>
        <v>8.5856526627649754E-2</v>
      </c>
      <c r="H13" s="36">
        <f>SUM(H14:H21)</f>
        <v>114627.43000000001</v>
      </c>
      <c r="I13" s="72">
        <f t="shared" ref="I13" si="64">H13/$B13</f>
        <v>9.7880535837954433E-2</v>
      </c>
      <c r="J13" s="36">
        <f>SUM(J14:J21)</f>
        <v>120212.69</v>
      </c>
      <c r="K13" s="72">
        <f t="shared" ref="K13" si="65">J13/$B13</f>
        <v>0.10264979779902512</v>
      </c>
      <c r="L13" s="36">
        <f>SUM(L14:L21)</f>
        <v>114344.07</v>
      </c>
      <c r="M13" s="72">
        <f t="shared" ref="M13" si="66">L13/$B13</f>
        <v>9.7638574305404652E-2</v>
      </c>
      <c r="N13" s="36">
        <f>SUM(N14:N21)</f>
        <v>102819.93</v>
      </c>
      <c r="O13" s="72">
        <f t="shared" ref="O13" si="67">N13/$B13</f>
        <v>8.7798093730453219E-2</v>
      </c>
      <c r="P13" s="36">
        <f>SUM(P14:P21)</f>
        <v>95732.35</v>
      </c>
      <c r="Q13" s="72">
        <f t="shared" ref="Q13" si="68">P13/$B13</f>
        <v>8.1745998449294352E-2</v>
      </c>
      <c r="R13" s="36">
        <f>SUM(R14:R21)</f>
        <v>111857.09</v>
      </c>
      <c r="S13" s="72">
        <f t="shared" ref="S13" si="69">R13/$B13</f>
        <v>9.5514938322130163E-2</v>
      </c>
      <c r="T13" s="36">
        <f>SUM(T14:T21)</f>
        <v>103449.7</v>
      </c>
      <c r="U13" s="72">
        <f t="shared" ref="U13" si="70">T13/$B13</f>
        <v>8.8335855285908732E-2</v>
      </c>
      <c r="V13" s="36">
        <f>SUM(V14:V21)</f>
        <v>109392.79000000001</v>
      </c>
      <c r="W13" s="72">
        <f t="shared" ref="W13" si="71">V13/$B13</f>
        <v>9.3410668825156626E-2</v>
      </c>
      <c r="X13" s="36">
        <f>SUM(X14:X21)</f>
        <v>107459.38</v>
      </c>
      <c r="Y13" s="72">
        <f t="shared" ref="Y13" si="72">X13/$B13</f>
        <v>9.1759727102093833E-2</v>
      </c>
      <c r="Z13" s="36">
        <f>SUM(Z14:Z21)</f>
        <v>122153.95999999999</v>
      </c>
      <c r="AA13" s="72">
        <f t="shared" ref="AA13" si="73">Z13/$B13</f>
        <v>0.10430745118797526</v>
      </c>
      <c r="AB13" s="36">
        <f t="shared" ref="AB13:AD13" si="74">SUM(AB14:AB21)</f>
        <v>1308974.1399999999</v>
      </c>
      <c r="AC13" s="72">
        <f t="shared" si="11"/>
        <v>1.1177349978205529</v>
      </c>
      <c r="AD13" s="36">
        <f t="shared" si="74"/>
        <v>1765109.3933999999</v>
      </c>
    </row>
    <row r="14" spans="1:31" x14ac:dyDescent="0.25">
      <c r="A14" s="18" t="s">
        <v>5</v>
      </c>
      <c r="B14" s="66">
        <v>1020446.4339000003</v>
      </c>
      <c r="C14" s="66">
        <f t="shared" si="12"/>
        <v>85037.202825000029</v>
      </c>
      <c r="D14" s="82">
        <v>87573.05</v>
      </c>
      <c r="E14" s="75">
        <f t="shared" si="0"/>
        <v>8.5818370362967841E-2</v>
      </c>
      <c r="F14" s="82">
        <v>89875.86</v>
      </c>
      <c r="G14" s="76">
        <f t="shared" si="0"/>
        <v>8.8075039526089888E-2</v>
      </c>
      <c r="H14" s="70">
        <v>90287.19</v>
      </c>
      <c r="I14" s="76">
        <f t="shared" ref="I14" si="75">H14/$B14</f>
        <v>8.8478127808174392E-2</v>
      </c>
      <c r="J14" s="70">
        <v>90087.69</v>
      </c>
      <c r="K14" s="76">
        <f t="shared" ref="K14" si="76">J14/$B14</f>
        <v>8.8282625140545343E-2</v>
      </c>
      <c r="L14" s="70">
        <v>90075.25</v>
      </c>
      <c r="M14" s="76">
        <f t="shared" ref="M14" si="77">L14/$B14</f>
        <v>8.8270434397761846E-2</v>
      </c>
      <c r="N14" s="70">
        <v>87842.18</v>
      </c>
      <c r="O14" s="76">
        <f t="shared" ref="O14" si="78">N14/$B14</f>
        <v>8.6082107871434027E-2</v>
      </c>
      <c r="P14" s="70">
        <v>91176.35</v>
      </c>
      <c r="Q14" s="76">
        <f t="shared" ref="Q14" si="79">P14/$B14</f>
        <v>8.9349471928219723E-2</v>
      </c>
      <c r="R14" s="70">
        <v>90415.23</v>
      </c>
      <c r="S14" s="76">
        <f t="shared" ref="S14" si="80">R14/$B14</f>
        <v>8.8603602302225623E-2</v>
      </c>
      <c r="T14" s="70">
        <v>91504.7</v>
      </c>
      <c r="U14" s="76">
        <f t="shared" ref="U14" si="81">T14/$B14</f>
        <v>8.967124286012948E-2</v>
      </c>
      <c r="V14" s="70">
        <v>91982.32</v>
      </c>
      <c r="W14" s="76">
        <f t="shared" ref="W14" si="82">V14/$B14</f>
        <v>9.0139292905808632E-2</v>
      </c>
      <c r="X14" s="70">
        <v>93223.81</v>
      </c>
      <c r="Y14" s="76">
        <f t="shared" ref="Y14" si="83">X14/$B14</f>
        <v>9.1355907476409051E-2</v>
      </c>
      <c r="Z14" s="70">
        <f>90914.04-2137.21</f>
        <v>88776.829999999987</v>
      </c>
      <c r="AA14" s="76">
        <f t="shared" ref="AA14" si="84">Z14/$B14</f>
        <v>8.6998030519551767E-2</v>
      </c>
      <c r="AB14" s="66">
        <f t="shared" ref="AB14:AB21" si="85">D14+F14+H14+J14+L14+N14+P14+R14+T14+V14+X14+Z14</f>
        <v>1082820.46</v>
      </c>
      <c r="AC14" s="76">
        <f t="shared" si="11"/>
        <v>1.0611242530993177</v>
      </c>
      <c r="AD14" s="66">
        <f>((AB14/9)*$AE$3)*12</f>
        <v>1508729.8409333332</v>
      </c>
    </row>
    <row r="15" spans="1:31" x14ac:dyDescent="0.25">
      <c r="A15" s="43" t="s">
        <v>6</v>
      </c>
      <c r="B15" s="66">
        <v>19165.6374</v>
      </c>
      <c r="C15" s="66">
        <f t="shared" si="12"/>
        <v>1597.13645</v>
      </c>
      <c r="D15" s="82">
        <v>1517</v>
      </c>
      <c r="E15" s="75">
        <f t="shared" si="0"/>
        <v>7.9152076622299034E-2</v>
      </c>
      <c r="F15" s="82">
        <v>1517</v>
      </c>
      <c r="G15" s="76">
        <f t="shared" si="0"/>
        <v>7.9152076622299034E-2</v>
      </c>
      <c r="H15" s="70">
        <v>1480</v>
      </c>
      <c r="I15" s="76">
        <f t="shared" ref="I15" si="86">H15/$B15</f>
        <v>7.7221538168096612E-2</v>
      </c>
      <c r="J15" s="70">
        <v>1517</v>
      </c>
      <c r="K15" s="76">
        <f t="shared" ref="K15" si="87">J15/$B15</f>
        <v>7.9152076622299034E-2</v>
      </c>
      <c r="L15" s="70">
        <v>1591</v>
      </c>
      <c r="M15" s="76">
        <f t="shared" ref="M15" si="88">L15/$B15</f>
        <v>8.3013153530703862E-2</v>
      </c>
      <c r="N15" s="70">
        <v>1628</v>
      </c>
      <c r="O15" s="76">
        <f t="shared" ref="O15" si="89">N15/$B15</f>
        <v>8.4943691984906283E-2</v>
      </c>
      <c r="P15" s="70">
        <v>1628</v>
      </c>
      <c r="Q15" s="76">
        <f t="shared" ref="Q15" si="90">P15/$B15</f>
        <v>8.4943691984906283E-2</v>
      </c>
      <c r="R15" s="70">
        <v>1628</v>
      </c>
      <c r="S15" s="76">
        <f t="shared" ref="S15" si="91">R15/$B15</f>
        <v>8.4943691984906283E-2</v>
      </c>
      <c r="T15" s="70">
        <v>1665</v>
      </c>
      <c r="U15" s="76">
        <f t="shared" ref="U15" si="92">T15/$B15</f>
        <v>8.6874230439108691E-2</v>
      </c>
      <c r="V15" s="70">
        <v>1628</v>
      </c>
      <c r="W15" s="76">
        <f t="shared" ref="W15" si="93">V15/$B15</f>
        <v>8.4943691984906283E-2</v>
      </c>
      <c r="X15" s="70">
        <v>1591</v>
      </c>
      <c r="Y15" s="76">
        <f t="shared" ref="Y15" si="94">X15/$B15</f>
        <v>8.3013153530703862E-2</v>
      </c>
      <c r="Z15" s="70">
        <v>1628</v>
      </c>
      <c r="AA15" s="76">
        <f t="shared" ref="AA15" si="95">Z15/$B15</f>
        <v>8.4943691984906283E-2</v>
      </c>
      <c r="AB15" s="66">
        <f t="shared" si="85"/>
        <v>19018</v>
      </c>
      <c r="AC15" s="76">
        <f t="shared" si="11"/>
        <v>0.99229676546004153</v>
      </c>
      <c r="AD15" s="66">
        <f>((AB15/9)*$AE$3)*12</f>
        <v>26498.41333333333</v>
      </c>
    </row>
    <row r="16" spans="1:31" x14ac:dyDescent="0.25">
      <c r="A16" s="43" t="s">
        <v>7</v>
      </c>
      <c r="B16" s="66">
        <v>15566.942700000003</v>
      </c>
      <c r="C16" s="66">
        <f t="shared" si="12"/>
        <v>1297.2452250000003</v>
      </c>
      <c r="D16" s="82">
        <v>1344</v>
      </c>
      <c r="E16" s="75">
        <f t="shared" si="0"/>
        <v>8.6336798811496862E-2</v>
      </c>
      <c r="F16" s="82">
        <v>1344</v>
      </c>
      <c r="G16" s="76">
        <f t="shared" si="0"/>
        <v>8.6336798811496862E-2</v>
      </c>
      <c r="H16" s="70">
        <v>1288</v>
      </c>
      <c r="I16" s="76">
        <f t="shared" ref="I16" si="96">H16/$B16</f>
        <v>8.2739432194351162E-2</v>
      </c>
      <c r="J16" s="70">
        <v>1288</v>
      </c>
      <c r="K16" s="76">
        <f t="shared" ref="K16" si="97">J16/$B16</f>
        <v>8.2739432194351162E-2</v>
      </c>
      <c r="L16" s="70">
        <v>1400</v>
      </c>
      <c r="M16" s="76">
        <f t="shared" ref="M16" si="98">L16/$B16</f>
        <v>8.9934165428642562E-2</v>
      </c>
      <c r="N16" s="70">
        <v>1456</v>
      </c>
      <c r="O16" s="76">
        <f t="shared" ref="O16" si="99">N16/$B16</f>
        <v>9.3531532045788263E-2</v>
      </c>
      <c r="P16" s="70">
        <v>1456</v>
      </c>
      <c r="Q16" s="76">
        <f t="shared" ref="Q16" si="100">P16/$B16</f>
        <v>9.3531532045788263E-2</v>
      </c>
      <c r="R16" s="70">
        <v>1456</v>
      </c>
      <c r="S16" s="76">
        <f t="shared" ref="S16" si="101">R16/$B16</f>
        <v>9.3531532045788263E-2</v>
      </c>
      <c r="T16" s="70">
        <v>1456</v>
      </c>
      <c r="U16" s="76">
        <f t="shared" ref="U16" si="102">T16/$B16</f>
        <v>9.3531532045788263E-2</v>
      </c>
      <c r="V16" s="70">
        <v>1456</v>
      </c>
      <c r="W16" s="76">
        <f t="shared" ref="W16" si="103">V16/$B16</f>
        <v>9.3531532045788263E-2</v>
      </c>
      <c r="X16" s="70">
        <v>1400</v>
      </c>
      <c r="Y16" s="76">
        <f t="shared" ref="Y16" si="104">X16/$B16</f>
        <v>8.9934165428642562E-2</v>
      </c>
      <c r="Z16" s="70">
        <v>1400</v>
      </c>
      <c r="AA16" s="76">
        <f t="shared" ref="AA16" si="105">Z16/$B16</f>
        <v>8.9934165428642562E-2</v>
      </c>
      <c r="AB16" s="66">
        <f t="shared" si="85"/>
        <v>16744</v>
      </c>
      <c r="AC16" s="76">
        <f t="shared" si="11"/>
        <v>1.0756126185265651</v>
      </c>
      <c r="AD16" s="66">
        <f t="shared" ref="AD16:AD28" si="106">((AB16/9)*$AE$3)*12</f>
        <v>23329.973333333328</v>
      </c>
    </row>
    <row r="17" spans="1:30" x14ac:dyDescent="0.25">
      <c r="A17" s="18" t="s">
        <v>8</v>
      </c>
      <c r="B17" s="66">
        <v>3339</v>
      </c>
      <c r="C17" s="66">
        <f t="shared" si="12"/>
        <v>278.25</v>
      </c>
      <c r="D17" s="82"/>
      <c r="E17" s="75">
        <f t="shared" si="0"/>
        <v>0</v>
      </c>
      <c r="F17" s="82"/>
      <c r="G17" s="76">
        <f t="shared" si="0"/>
        <v>0</v>
      </c>
      <c r="H17" s="70">
        <v>500</v>
      </c>
      <c r="I17" s="76">
        <f t="shared" ref="I17" si="107">H17/$B17</f>
        <v>0.14974543276430069</v>
      </c>
      <c r="J17" s="70">
        <v>2250</v>
      </c>
      <c r="K17" s="76">
        <f t="shared" ref="K17" si="108">J17/$B17</f>
        <v>0.67385444743935308</v>
      </c>
      <c r="L17" s="70"/>
      <c r="M17" s="76">
        <f t="shared" ref="M17" si="109">L17/$B17</f>
        <v>0</v>
      </c>
      <c r="N17" s="70"/>
      <c r="O17" s="76">
        <f t="shared" ref="O17" si="110">N17/$B17</f>
        <v>0</v>
      </c>
      <c r="P17" s="70"/>
      <c r="Q17" s="76">
        <f t="shared" ref="Q17" si="111">P17/$B17</f>
        <v>0</v>
      </c>
      <c r="R17" s="70"/>
      <c r="S17" s="76">
        <f t="shared" ref="S17" si="112">R17/$B17</f>
        <v>0</v>
      </c>
      <c r="T17" s="70"/>
      <c r="U17" s="76">
        <f t="shared" ref="U17" si="113">T17/$B17</f>
        <v>0</v>
      </c>
      <c r="V17" s="70">
        <v>2115</v>
      </c>
      <c r="W17" s="76">
        <f t="shared" ref="W17" si="114">V17/$B17</f>
        <v>0.63342318059299196</v>
      </c>
      <c r="X17" s="70"/>
      <c r="Y17" s="76">
        <f t="shared" ref="Y17" si="115">X17/$B17</f>
        <v>0</v>
      </c>
      <c r="Z17" s="70"/>
      <c r="AA17" s="76">
        <f t="shared" ref="AA17" si="116">Z17/$B17</f>
        <v>0</v>
      </c>
      <c r="AB17" s="66">
        <f t="shared" si="85"/>
        <v>4865</v>
      </c>
      <c r="AC17" s="76">
        <f t="shared" si="11"/>
        <v>1.4570230607966457</v>
      </c>
      <c r="AD17" s="66">
        <f>((AB17)*$AE$3)</f>
        <v>5083.9249999999993</v>
      </c>
    </row>
    <row r="18" spans="1:30" x14ac:dyDescent="0.25">
      <c r="A18" s="63" t="s">
        <v>135</v>
      </c>
      <c r="B18" s="66">
        <v>97000</v>
      </c>
      <c r="C18" s="66">
        <f t="shared" si="12"/>
        <v>8083.333333333333</v>
      </c>
      <c r="D18" s="82">
        <v>14596.53</v>
      </c>
      <c r="E18" s="75">
        <f t="shared" si="0"/>
        <v>0.15047969072164949</v>
      </c>
      <c r="F18" s="82">
        <v>6613.31</v>
      </c>
      <c r="G18" s="75">
        <f t="shared" si="0"/>
        <v>6.8178453608247425E-2</v>
      </c>
      <c r="H18" s="70">
        <v>20014.240000000002</v>
      </c>
      <c r="I18" s="75">
        <f t="shared" ref="I18" si="117">H18/$B18</f>
        <v>0.20633237113402064</v>
      </c>
      <c r="J18" s="70"/>
      <c r="K18" s="75">
        <f t="shared" ref="K18" si="118">J18/$B18</f>
        <v>0</v>
      </c>
      <c r="L18" s="70">
        <v>20349.82</v>
      </c>
      <c r="M18" s="75">
        <f t="shared" ref="M18" si="119">L18/$B18</f>
        <v>0.20979195876288659</v>
      </c>
      <c r="N18" s="70">
        <v>10238.75</v>
      </c>
      <c r="O18" s="75">
        <f t="shared" ref="O18" si="120">N18/$B18</f>
        <v>0.10555412371134021</v>
      </c>
      <c r="P18" s="70"/>
      <c r="Q18" s="75">
        <f t="shared" ref="Q18" si="121">P18/$B18</f>
        <v>0</v>
      </c>
      <c r="R18" s="70">
        <v>17153.86</v>
      </c>
      <c r="S18" s="75">
        <f t="shared" ref="S18" si="122">R18/$B18</f>
        <v>0.17684391752577319</v>
      </c>
      <c r="T18" s="70"/>
      <c r="U18" s="75">
        <f t="shared" ref="U18" si="123">T18/$B18</f>
        <v>0</v>
      </c>
      <c r="V18" s="70">
        <v>10423.469999999999</v>
      </c>
      <c r="W18" s="75">
        <f t="shared" ref="W18" si="124">V18/$B18</f>
        <v>0.10745845360824742</v>
      </c>
      <c r="X18" s="70">
        <v>10416.57</v>
      </c>
      <c r="Y18" s="75">
        <f t="shared" ref="Y18" si="125">X18/$B18</f>
        <v>0.10738731958762886</v>
      </c>
      <c r="Z18" s="70">
        <v>10123.129999999999</v>
      </c>
      <c r="AA18" s="75">
        <f t="shared" ref="AA18" si="126">Z18/$B18</f>
        <v>0.1043621649484536</v>
      </c>
      <c r="AB18" s="66">
        <f t="shared" si="85"/>
        <v>119929.68</v>
      </c>
      <c r="AC18" s="75">
        <f t="shared" si="11"/>
        <v>1.2363884536082475</v>
      </c>
      <c r="AD18" s="66">
        <f t="shared" si="106"/>
        <v>167102.02079999997</v>
      </c>
    </row>
    <row r="19" spans="1:30" x14ac:dyDescent="0.25">
      <c r="A19" s="18" t="s">
        <v>136</v>
      </c>
      <c r="B19" s="66"/>
      <c r="C19" s="66">
        <f t="shared" si="12"/>
        <v>0</v>
      </c>
      <c r="D19" s="82"/>
      <c r="E19" s="75"/>
      <c r="F19" s="82"/>
      <c r="G19" s="76"/>
      <c r="H19" s="70"/>
      <c r="I19" s="76"/>
      <c r="J19" s="70">
        <v>23000</v>
      </c>
      <c r="K19" s="76"/>
      <c r="L19" s="70"/>
      <c r="M19" s="76"/>
      <c r="N19" s="70"/>
      <c r="O19" s="76"/>
      <c r="P19" s="70"/>
      <c r="Q19" s="76"/>
      <c r="R19" s="70"/>
      <c r="S19" s="76"/>
      <c r="T19" s="70">
        <v>7000</v>
      </c>
      <c r="U19" s="76"/>
      <c r="V19" s="70"/>
      <c r="W19" s="76"/>
      <c r="X19" s="70"/>
      <c r="Y19" s="76"/>
      <c r="Z19" s="70">
        <f>1610+16500</f>
        <v>18110</v>
      </c>
      <c r="AA19" s="76"/>
      <c r="AB19" s="66">
        <f t="shared" si="85"/>
        <v>48110</v>
      </c>
      <c r="AC19" s="76"/>
      <c r="AD19" s="90">
        <v>10000</v>
      </c>
    </row>
    <row r="20" spans="1:30" x14ac:dyDescent="0.25">
      <c r="A20" s="63" t="s">
        <v>21</v>
      </c>
      <c r="B20" s="66">
        <v>961.95</v>
      </c>
      <c r="C20" s="66">
        <f t="shared" si="12"/>
        <v>80.162500000000009</v>
      </c>
      <c r="D20" s="82"/>
      <c r="E20" s="75">
        <f t="shared" si="0"/>
        <v>0</v>
      </c>
      <c r="F20" s="82"/>
      <c r="G20" s="75">
        <f t="shared" si="0"/>
        <v>0</v>
      </c>
      <c r="H20" s="70"/>
      <c r="I20" s="75">
        <f t="shared" ref="I20" si="127">H20/$B20</f>
        <v>0</v>
      </c>
      <c r="J20" s="70"/>
      <c r="K20" s="75">
        <f t="shared" ref="K20" si="128">J20/$B20</f>
        <v>0</v>
      </c>
      <c r="L20" s="70"/>
      <c r="M20" s="75">
        <f t="shared" ref="M20" si="129">L20/$B20</f>
        <v>0</v>
      </c>
      <c r="N20" s="70">
        <v>90</v>
      </c>
      <c r="O20" s="75">
        <f t="shared" ref="O20" si="130">N20/$B20</f>
        <v>9.3559956338687036E-2</v>
      </c>
      <c r="P20" s="70"/>
      <c r="Q20" s="75">
        <f t="shared" ref="Q20" si="131">P20/$B20</f>
        <v>0</v>
      </c>
      <c r="R20" s="70">
        <v>80</v>
      </c>
      <c r="S20" s="75">
        <f t="shared" ref="S20" si="132">R20/$B20</f>
        <v>8.3164405634388483E-2</v>
      </c>
      <c r="T20" s="70">
        <v>30</v>
      </c>
      <c r="U20" s="75">
        <f t="shared" ref="U20" si="133">T20/$B20</f>
        <v>3.1186652112895678E-2</v>
      </c>
      <c r="V20" s="70">
        <v>270</v>
      </c>
      <c r="W20" s="75">
        <f t="shared" ref="W20" si="134">V20/$B20</f>
        <v>0.28067986901606112</v>
      </c>
      <c r="X20" s="70"/>
      <c r="Y20" s="75">
        <f t="shared" ref="Y20" si="135">X20/$B20</f>
        <v>0</v>
      </c>
      <c r="Z20" s="70"/>
      <c r="AA20" s="75">
        <f t="shared" ref="AA20" si="136">Z20/$B20</f>
        <v>0</v>
      </c>
      <c r="AB20" s="66">
        <f t="shared" si="85"/>
        <v>470</v>
      </c>
      <c r="AC20" s="75">
        <f t="shared" si="11"/>
        <v>0.4885908831020323</v>
      </c>
      <c r="AD20" s="66">
        <f t="shared" si="106"/>
        <v>654.86666666666656</v>
      </c>
    </row>
    <row r="21" spans="1:30" x14ac:dyDescent="0.25">
      <c r="A21" s="18" t="s">
        <v>126</v>
      </c>
      <c r="B21" s="66">
        <v>14615.28</v>
      </c>
      <c r="C21" s="66">
        <f t="shared" si="12"/>
        <v>1217.94</v>
      </c>
      <c r="D21" s="82">
        <v>1348</v>
      </c>
      <c r="E21" s="75">
        <f t="shared" si="0"/>
        <v>9.2232239136027502E-2</v>
      </c>
      <c r="F21" s="82">
        <v>1196</v>
      </c>
      <c r="G21" s="76">
        <f t="shared" si="0"/>
        <v>8.1832164693389386E-2</v>
      </c>
      <c r="H21" s="70">
        <v>1058</v>
      </c>
      <c r="I21" s="76">
        <f t="shared" ref="I21" si="137">H21/$B21</f>
        <v>7.2389991844152138E-2</v>
      </c>
      <c r="J21" s="70">
        <v>2070</v>
      </c>
      <c r="K21" s="76">
        <f t="shared" ref="K21" si="138">J21/$B21</f>
        <v>0.14163259273855855</v>
      </c>
      <c r="L21" s="70">
        <v>928</v>
      </c>
      <c r="M21" s="76">
        <f t="shared" ref="M21" si="139">L21/$B21</f>
        <v>6.3495191334001125E-2</v>
      </c>
      <c r="N21" s="70">
        <v>1565</v>
      </c>
      <c r="O21" s="76">
        <f t="shared" ref="O21" si="140">N21/$B21</f>
        <v>0.10707971383374112</v>
      </c>
      <c r="P21" s="70">
        <v>1472</v>
      </c>
      <c r="Q21" s="76">
        <f t="shared" ref="Q21" si="141">P21/$B21</f>
        <v>0.10071651039186386</v>
      </c>
      <c r="R21" s="70">
        <v>1124</v>
      </c>
      <c r="S21" s="76">
        <f t="shared" ref="S21" si="142">R21/$B21</f>
        <v>7.6905813641613432E-2</v>
      </c>
      <c r="T21" s="70">
        <v>1794</v>
      </c>
      <c r="U21" s="76">
        <f t="shared" ref="U21" si="143">T21/$B21</f>
        <v>0.12274824704008407</v>
      </c>
      <c r="V21" s="70">
        <v>1518</v>
      </c>
      <c r="W21" s="76">
        <f t="shared" ref="W21" si="144">V21/$B21</f>
        <v>0.1038639013416096</v>
      </c>
      <c r="X21" s="70">
        <v>828</v>
      </c>
      <c r="Y21" s="76">
        <f t="shared" ref="Y21" si="145">X21/$B21</f>
        <v>5.6653037095423416E-2</v>
      </c>
      <c r="Z21" s="70">
        <v>2116</v>
      </c>
      <c r="AA21" s="76">
        <f t="shared" ref="AA21" si="146">Z21/$B21</f>
        <v>0.14477998368830428</v>
      </c>
      <c r="AB21" s="66">
        <f t="shared" si="85"/>
        <v>17017</v>
      </c>
      <c r="AC21" s="76">
        <f t="shared" si="11"/>
        <v>1.1643293867787685</v>
      </c>
      <c r="AD21" s="66">
        <f t="shared" si="106"/>
        <v>23710.353333333333</v>
      </c>
    </row>
    <row r="22" spans="1:30" x14ac:dyDescent="0.25">
      <c r="A22" s="42" t="s">
        <v>13</v>
      </c>
      <c r="B22" s="36">
        <v>589000</v>
      </c>
      <c r="C22" s="36">
        <f t="shared" si="12"/>
        <v>49083.333333333336</v>
      </c>
      <c r="D22" s="36">
        <f t="shared" ref="D22:F22" si="147">SUM(D23:D26)</f>
        <v>44395.1</v>
      </c>
      <c r="E22" s="72">
        <f t="shared" si="0"/>
        <v>7.5373684210526315E-2</v>
      </c>
      <c r="F22" s="36">
        <f t="shared" si="147"/>
        <v>29666.400000000001</v>
      </c>
      <c r="G22" s="72">
        <f t="shared" si="0"/>
        <v>5.0367402376910023E-2</v>
      </c>
      <c r="H22" s="36">
        <f t="shared" ref="H22" si="148">SUM(H23:H26)</f>
        <v>55665</v>
      </c>
      <c r="I22" s="72">
        <f t="shared" ref="I22" si="149">H22/$B22</f>
        <v>9.4507640067911708E-2</v>
      </c>
      <c r="J22" s="36">
        <f t="shared" ref="J22" si="150">SUM(J23:J26)</f>
        <v>39534.119999999995</v>
      </c>
      <c r="K22" s="72">
        <f t="shared" ref="K22" si="151">J22/$B22</f>
        <v>6.7120747028862476E-2</v>
      </c>
      <c r="L22" s="36">
        <f t="shared" ref="L22" si="152">SUM(L23:L26)</f>
        <v>36430.93</v>
      </c>
      <c r="M22" s="72">
        <f t="shared" ref="M22" si="153">L22/$B22</f>
        <v>6.1852173174872668E-2</v>
      </c>
      <c r="N22" s="36">
        <f t="shared" ref="N22" si="154">SUM(N23:N26)</f>
        <v>41765.119999999995</v>
      </c>
      <c r="O22" s="72">
        <f t="shared" ref="O22" si="155">N22/$B22</f>
        <v>7.090852292020372E-2</v>
      </c>
      <c r="P22" s="36">
        <f t="shared" ref="P22" si="156">SUM(P23:P26)</f>
        <v>48136.66</v>
      </c>
      <c r="Q22" s="72">
        <f t="shared" ref="Q22" si="157">P22/$B22</f>
        <v>8.1726078098471988E-2</v>
      </c>
      <c r="R22" s="36">
        <f t="shared" ref="R22" si="158">SUM(R23:R26)</f>
        <v>37117.880000000005</v>
      </c>
      <c r="S22" s="72">
        <f t="shared" ref="S22" si="159">R22/$B22</f>
        <v>6.3018471986417662E-2</v>
      </c>
      <c r="T22" s="36">
        <f t="shared" ref="T22" si="160">SUM(T23:T26)</f>
        <v>41668</v>
      </c>
      <c r="U22" s="72">
        <f t="shared" ref="U22" si="161">T22/$B22</f>
        <v>7.0743633276740242E-2</v>
      </c>
      <c r="V22" s="36">
        <f t="shared" ref="V22" si="162">SUM(V23:V26)</f>
        <v>43796</v>
      </c>
      <c r="W22" s="72">
        <f t="shared" ref="W22" si="163">V22/$B22</f>
        <v>7.4356536502546686E-2</v>
      </c>
      <c r="X22" s="36">
        <f t="shared" ref="X22" si="164">SUM(X23:X26)</f>
        <v>57157.5</v>
      </c>
      <c r="Y22" s="72">
        <f t="shared" ref="Y22" si="165">X22/$B22</f>
        <v>9.7041595925297111E-2</v>
      </c>
      <c r="Z22" s="36">
        <f t="shared" ref="Z22" si="166">SUM(Z23:Z26)</f>
        <v>70826.81</v>
      </c>
      <c r="AA22" s="72">
        <f t="shared" ref="AA22" si="167">Z22/$B22</f>
        <v>0.12024925297113752</v>
      </c>
      <c r="AB22" s="36">
        <f t="shared" ref="AB22:AD22" si="168">SUM(AB23:AB26)</f>
        <v>546159.52</v>
      </c>
      <c r="AC22" s="72">
        <f t="shared" si="11"/>
        <v>0.92726573853989813</v>
      </c>
      <c r="AD22" s="36">
        <f t="shared" si="168"/>
        <v>760982.26453333336</v>
      </c>
    </row>
    <row r="23" spans="1:30" x14ac:dyDescent="0.25">
      <c r="A23" s="43" t="s">
        <v>14</v>
      </c>
      <c r="B23" s="66">
        <v>244000</v>
      </c>
      <c r="C23" s="66">
        <f t="shared" si="12"/>
        <v>20333.333333333332</v>
      </c>
      <c r="D23" s="82"/>
      <c r="E23" s="75">
        <f t="shared" si="0"/>
        <v>0</v>
      </c>
      <c r="F23" s="82">
        <f>19204+4302</f>
        <v>23506</v>
      </c>
      <c r="G23" s="76">
        <f t="shared" si="0"/>
        <v>9.6336065573770488E-2</v>
      </c>
      <c r="H23" s="70">
        <f>25746.5+16416+6041.5</f>
        <v>48204</v>
      </c>
      <c r="I23" s="76">
        <f t="shared" ref="I23" si="169">H23/$B23</f>
        <v>0.19755737704918033</v>
      </c>
      <c r="J23" s="70">
        <f>28052.12+2736+6815</f>
        <v>37603.119999999995</v>
      </c>
      <c r="K23" s="76">
        <f t="shared" ref="K23" si="170">J23/$B23</f>
        <v>0.1541111475409836</v>
      </c>
      <c r="L23" s="70">
        <f>25335.68+7161.25</f>
        <v>32496.93</v>
      </c>
      <c r="M23" s="76">
        <f t="shared" ref="M23" si="171">L23/$B23</f>
        <v>0.13318413934426229</v>
      </c>
      <c r="N23" s="70">
        <f>24447.87+6621.25</f>
        <v>31069.119999999999</v>
      </c>
      <c r="O23" s="76">
        <f t="shared" ref="O23" si="172">N23/$B23</f>
        <v>0.12733245901639345</v>
      </c>
      <c r="P23" s="70">
        <f>3106.66</f>
        <v>3106.66</v>
      </c>
      <c r="Q23" s="76">
        <f t="shared" ref="Q23" si="173">P23/$B23</f>
        <v>1.2732213114754098E-2</v>
      </c>
      <c r="R23" s="70">
        <f>25349.88+9860</f>
        <v>35209.880000000005</v>
      </c>
      <c r="S23" s="76">
        <f t="shared" ref="S23" si="174">R23/$B23</f>
        <v>0.14430278688524592</v>
      </c>
      <c r="T23" s="70">
        <f>30512+10130</f>
        <v>40642</v>
      </c>
      <c r="U23" s="76">
        <f t="shared" ref="U23" si="175">T23/$B23</f>
        <v>0.1665655737704918</v>
      </c>
      <c r="V23" s="70">
        <f>31782+9670</f>
        <v>41452</v>
      </c>
      <c r="W23" s="76">
        <f t="shared" ref="W23" si="176">V23/$B23</f>
        <v>0.16988524590163934</v>
      </c>
      <c r="X23" s="70">
        <f>30871.5+9080</f>
        <v>39951.5</v>
      </c>
      <c r="Y23" s="76">
        <f t="shared" ref="Y23" si="177">X23/$B23</f>
        <v>0.1637356557377049</v>
      </c>
      <c r="Z23" s="70">
        <f>30320+8540</f>
        <v>38860</v>
      </c>
      <c r="AA23" s="76">
        <f t="shared" ref="AA23" si="178">Z23/$B23</f>
        <v>0.15926229508196721</v>
      </c>
      <c r="AB23" s="66">
        <f t="shared" ref="AB23:AB26" si="179">D23+F23+H23+J23+L23+N23+P23+R23+T23+V23+X23+Z23</f>
        <v>372101.20999999996</v>
      </c>
      <c r="AC23" s="76">
        <f t="shared" si="11"/>
        <v>1.5250049590163932</v>
      </c>
      <c r="AD23" s="66">
        <f t="shared" si="106"/>
        <v>518461.01926666661</v>
      </c>
    </row>
    <row r="24" spans="1:30" x14ac:dyDescent="0.25">
      <c r="A24" s="43" t="s">
        <v>15</v>
      </c>
      <c r="B24" s="66">
        <v>90000</v>
      </c>
      <c r="C24" s="66">
        <f t="shared" si="12"/>
        <v>7500</v>
      </c>
      <c r="D24" s="82"/>
      <c r="E24" s="75">
        <f t="shared" si="0"/>
        <v>0</v>
      </c>
      <c r="F24" s="82">
        <v>1450</v>
      </c>
      <c r="G24" s="76">
        <f t="shared" si="0"/>
        <v>1.6111111111111111E-2</v>
      </c>
      <c r="H24" s="70">
        <v>3120</v>
      </c>
      <c r="I24" s="76">
        <f t="shared" ref="I24" si="180">H24/$B24</f>
        <v>3.4666666666666665E-2</v>
      </c>
      <c r="J24" s="70"/>
      <c r="K24" s="76">
        <f t="shared" ref="K24" si="181">J24/$B24</f>
        <v>0</v>
      </c>
      <c r="L24" s="70">
        <v>1480</v>
      </c>
      <c r="M24" s="76">
        <f t="shared" ref="M24" si="182">L24/$B24</f>
        <v>1.6444444444444446E-2</v>
      </c>
      <c r="N24" s="70">
        <f>2070</f>
        <v>2070</v>
      </c>
      <c r="O24" s="76">
        <f t="shared" ref="O24" si="183">N24/$B24</f>
        <v>2.3E-2</v>
      </c>
      <c r="P24" s="70"/>
      <c r="Q24" s="76">
        <f t="shared" ref="Q24" si="184">P24/$B24</f>
        <v>0</v>
      </c>
      <c r="R24" s="70"/>
      <c r="S24" s="76">
        <f t="shared" ref="S24" si="185">R24/$B24</f>
        <v>0</v>
      </c>
      <c r="T24" s="70"/>
      <c r="U24" s="76">
        <f t="shared" ref="U24" si="186">T24/$B24</f>
        <v>0</v>
      </c>
      <c r="V24" s="70"/>
      <c r="W24" s="76">
        <f t="shared" ref="W24" si="187">V24/$B24</f>
        <v>0</v>
      </c>
      <c r="X24" s="70"/>
      <c r="Y24" s="76">
        <f t="shared" ref="Y24" si="188">X24/$B24</f>
        <v>0</v>
      </c>
      <c r="Z24" s="70"/>
      <c r="AA24" s="76">
        <f t="shared" ref="AA24" si="189">Z24/$B24</f>
        <v>0</v>
      </c>
      <c r="AB24" s="66">
        <f t="shared" si="179"/>
        <v>8120</v>
      </c>
      <c r="AC24" s="76">
        <f t="shared" si="11"/>
        <v>9.0222222222222218E-2</v>
      </c>
      <c r="AD24" s="66">
        <f t="shared" si="106"/>
        <v>11313.866666666665</v>
      </c>
    </row>
    <row r="25" spans="1:30" x14ac:dyDescent="0.25">
      <c r="A25" s="43" t="s">
        <v>184</v>
      </c>
      <c r="B25" s="66">
        <v>51000</v>
      </c>
      <c r="C25" s="66">
        <f t="shared" si="12"/>
        <v>4250</v>
      </c>
      <c r="D25" s="82">
        <v>2523.1</v>
      </c>
      <c r="E25" s="75">
        <f t="shared" si="0"/>
        <v>4.9472549019607841E-2</v>
      </c>
      <c r="F25" s="82">
        <v>4710.3999999999996</v>
      </c>
      <c r="G25" s="76">
        <f t="shared" si="0"/>
        <v>9.2360784313725477E-2</v>
      </c>
      <c r="H25" s="70">
        <v>4341</v>
      </c>
      <c r="I25" s="76">
        <f t="shared" ref="I25" si="190">H25/$B25</f>
        <v>8.5117647058823534E-2</v>
      </c>
      <c r="J25" s="70">
        <v>1931</v>
      </c>
      <c r="K25" s="76">
        <f t="shared" ref="K25" si="191">J25/$B25</f>
        <v>3.7862745098039219E-2</v>
      </c>
      <c r="L25" s="70">
        <v>2454</v>
      </c>
      <c r="M25" s="76">
        <f t="shared" ref="M25" si="192">L25/$B25</f>
        <v>4.8117647058823529E-2</v>
      </c>
      <c r="N25" s="70">
        <v>1296</v>
      </c>
      <c r="O25" s="76">
        <f t="shared" ref="O25" si="193">N25/$B25</f>
        <v>2.5411764705882352E-2</v>
      </c>
      <c r="P25" s="70">
        <v>2414</v>
      </c>
      <c r="Q25" s="76">
        <f t="shared" ref="Q25" si="194">P25/$B25</f>
        <v>4.7333333333333331E-2</v>
      </c>
      <c r="R25" s="70">
        <v>1908</v>
      </c>
      <c r="S25" s="76">
        <f t="shared" ref="S25" si="195">R25/$B25</f>
        <v>3.7411764705882353E-2</v>
      </c>
      <c r="T25" s="70">
        <v>1026</v>
      </c>
      <c r="U25" s="76">
        <f t="shared" ref="U25" si="196">T25/$B25</f>
        <v>2.0117647058823528E-2</v>
      </c>
      <c r="V25" s="70">
        <v>2344</v>
      </c>
      <c r="W25" s="76">
        <f t="shared" ref="W25" si="197">V25/$B25</f>
        <v>4.5960784313725488E-2</v>
      </c>
      <c r="X25" s="70">
        <v>1426</v>
      </c>
      <c r="Y25" s="76">
        <f t="shared" ref="Y25" si="198">X25/$B25</f>
        <v>2.7960784313725489E-2</v>
      </c>
      <c r="Z25" s="70">
        <v>1473.8</v>
      </c>
      <c r="AA25" s="76">
        <f t="shared" ref="AA25" si="199">Z25/$B25</f>
        <v>2.8898039215686275E-2</v>
      </c>
      <c r="AB25" s="66">
        <f t="shared" si="179"/>
        <v>27847.3</v>
      </c>
      <c r="AC25" s="76">
        <f t="shared" si="11"/>
        <v>0.54602549019607838</v>
      </c>
      <c r="AD25" s="66">
        <f t="shared" si="106"/>
        <v>38800.571333333326</v>
      </c>
    </row>
    <row r="26" spans="1:30" x14ac:dyDescent="0.25">
      <c r="A26" s="18" t="s">
        <v>16</v>
      </c>
      <c r="B26" s="66">
        <v>204000</v>
      </c>
      <c r="C26" s="66">
        <f t="shared" si="12"/>
        <v>17000</v>
      </c>
      <c r="D26" s="82">
        <v>41872</v>
      </c>
      <c r="E26" s="75">
        <f t="shared" si="0"/>
        <v>0.2052549019607843</v>
      </c>
      <c r="F26" s="82"/>
      <c r="G26" s="76">
        <f t="shared" si="0"/>
        <v>0</v>
      </c>
      <c r="H26" s="70"/>
      <c r="I26" s="76">
        <f t="shared" ref="I26" si="200">H26/$B26</f>
        <v>0</v>
      </c>
      <c r="J26" s="70"/>
      <c r="K26" s="76">
        <f t="shared" ref="K26" si="201">J26/$B26</f>
        <v>0</v>
      </c>
      <c r="L26" s="70"/>
      <c r="M26" s="76">
        <f t="shared" ref="M26" si="202">L26/$B26</f>
        <v>0</v>
      </c>
      <c r="N26" s="70">
        <v>7330</v>
      </c>
      <c r="O26" s="76">
        <f t="shared" ref="O26" si="203">N26/$B26</f>
        <v>3.5931372549019611E-2</v>
      </c>
      <c r="P26" s="70">
        <v>42616</v>
      </c>
      <c r="Q26" s="76">
        <f t="shared" ref="Q26" si="204">P26/$B26</f>
        <v>0.20890196078431372</v>
      </c>
      <c r="R26" s="70"/>
      <c r="S26" s="76">
        <f t="shared" ref="S26" si="205">R26/$B26</f>
        <v>0</v>
      </c>
      <c r="T26" s="70"/>
      <c r="U26" s="76">
        <f t="shared" ref="U26" si="206">T26/$B26</f>
        <v>0</v>
      </c>
      <c r="V26" s="70"/>
      <c r="W26" s="76">
        <f t="shared" ref="W26" si="207">V26/$B26</f>
        <v>0</v>
      </c>
      <c r="X26" s="70">
        <v>15780</v>
      </c>
      <c r="Y26" s="76">
        <f t="shared" ref="Y26" si="208">X26/$B26</f>
        <v>7.7352941176470583E-2</v>
      </c>
      <c r="Z26" s="70">
        <v>30493.01</v>
      </c>
      <c r="AA26" s="76">
        <f t="shared" ref="AA26" si="209">Z26/$B26</f>
        <v>0.14947553921568627</v>
      </c>
      <c r="AB26" s="66">
        <f t="shared" si="179"/>
        <v>138091.01</v>
      </c>
      <c r="AC26" s="76">
        <f t="shared" si="11"/>
        <v>0.67691671568627454</v>
      </c>
      <c r="AD26" s="66">
        <f t="shared" si="106"/>
        <v>192406.80726666667</v>
      </c>
    </row>
    <row r="27" spans="1:30" x14ac:dyDescent="0.25">
      <c r="A27" s="42" t="s">
        <v>108</v>
      </c>
      <c r="B27" s="36">
        <v>38000</v>
      </c>
      <c r="C27" s="36">
        <f t="shared" si="12"/>
        <v>3166.6666666666665</v>
      </c>
      <c r="D27" s="36">
        <f t="shared" ref="D27:Z27" si="210">D28</f>
        <v>2572.04</v>
      </c>
      <c r="E27" s="72">
        <f t="shared" si="0"/>
        <v>6.7685263157894734E-2</v>
      </c>
      <c r="F27" s="36">
        <f t="shared" si="210"/>
        <v>1763.92</v>
      </c>
      <c r="G27" s="72">
        <f t="shared" si="0"/>
        <v>4.6418947368421053E-2</v>
      </c>
      <c r="H27" s="36">
        <f t="shared" si="210"/>
        <v>3345.83</v>
      </c>
      <c r="I27" s="72">
        <f t="shared" ref="I27" si="211">H27/$B27</f>
        <v>8.8048157894736842E-2</v>
      </c>
      <c r="J27" s="36">
        <f t="shared" si="210"/>
        <v>3088.84</v>
      </c>
      <c r="K27" s="72">
        <f t="shared" ref="K27" si="212">J27/$B27</f>
        <v>8.1285263157894735E-2</v>
      </c>
      <c r="L27" s="36">
        <f t="shared" si="210"/>
        <v>2878.9900000000002</v>
      </c>
      <c r="M27" s="72">
        <f t="shared" ref="M27" si="213">L27/$B27</f>
        <v>7.5762894736842112E-2</v>
      </c>
      <c r="N27" s="36">
        <f t="shared" si="210"/>
        <v>3356.98</v>
      </c>
      <c r="O27" s="72">
        <f t="shared" ref="O27" si="214">N27/$B27</f>
        <v>8.8341578947368424E-2</v>
      </c>
      <c r="P27" s="36">
        <f t="shared" si="210"/>
        <v>5359.46</v>
      </c>
      <c r="Q27" s="72">
        <f t="shared" ref="Q27" si="215">P27/$B27</f>
        <v>0.14103842105263159</v>
      </c>
      <c r="R27" s="36">
        <f t="shared" si="210"/>
        <v>4212.29</v>
      </c>
      <c r="S27" s="72">
        <f t="shared" ref="S27" si="216">R27/$B27</f>
        <v>0.11084973684210526</v>
      </c>
      <c r="T27" s="36">
        <f t="shared" si="210"/>
        <v>5321.44</v>
      </c>
      <c r="U27" s="72">
        <f t="shared" ref="U27" si="217">T27/$B27</f>
        <v>0.14003789473684208</v>
      </c>
      <c r="V27" s="36">
        <f t="shared" si="210"/>
        <v>6054.02</v>
      </c>
      <c r="W27" s="72">
        <f t="shared" ref="W27" si="218">V27/$B27</f>
        <v>0.15931631578947369</v>
      </c>
      <c r="X27" s="36">
        <f t="shared" si="210"/>
        <v>5438.17</v>
      </c>
      <c r="Y27" s="72">
        <f t="shared" ref="Y27" si="219">X27/$B27</f>
        <v>0.14310973684210526</v>
      </c>
      <c r="Z27" s="36">
        <f t="shared" si="210"/>
        <v>5612.29</v>
      </c>
      <c r="AA27" s="72">
        <f t="shared" ref="AA27" si="220">Z27/$B27</f>
        <v>0.14769184210526315</v>
      </c>
      <c r="AB27" s="36">
        <f t="shared" ref="AB27:AD27" si="221">AB28</f>
        <v>49004.27</v>
      </c>
      <c r="AC27" s="72">
        <f t="shared" si="11"/>
        <v>1.2895860526315788</v>
      </c>
      <c r="AD27" s="36">
        <f t="shared" si="221"/>
        <v>68279.282866666661</v>
      </c>
    </row>
    <row r="28" spans="1:30" x14ac:dyDescent="0.25">
      <c r="A28" s="61" t="s">
        <v>17</v>
      </c>
      <c r="B28" s="66">
        <v>38000</v>
      </c>
      <c r="C28" s="66">
        <f t="shared" si="12"/>
        <v>3166.6666666666665</v>
      </c>
      <c r="D28" s="82">
        <v>2572.04</v>
      </c>
      <c r="E28" s="75">
        <f t="shared" si="0"/>
        <v>6.7685263157894734E-2</v>
      </c>
      <c r="F28" s="82">
        <v>1763.92</v>
      </c>
      <c r="G28" s="76">
        <f t="shared" si="0"/>
        <v>4.6418947368421053E-2</v>
      </c>
      <c r="H28" s="70">
        <v>3345.83</v>
      </c>
      <c r="I28" s="76">
        <f t="shared" ref="I28" si="222">H28/$B28</f>
        <v>8.8048157894736842E-2</v>
      </c>
      <c r="J28" s="70">
        <v>3088.84</v>
      </c>
      <c r="K28" s="76">
        <f t="shared" ref="K28" si="223">J28/$B28</f>
        <v>8.1285263157894735E-2</v>
      </c>
      <c r="L28" s="70">
        <f>1915.65+1346.45-383.11</f>
        <v>2878.9900000000002</v>
      </c>
      <c r="M28" s="76">
        <f t="shared" ref="M28" si="224">L28/$B28</f>
        <v>7.5762894736842112E-2</v>
      </c>
      <c r="N28" s="70">
        <v>3356.98</v>
      </c>
      <c r="O28" s="76">
        <f t="shared" ref="O28" si="225">N28/$B28</f>
        <v>8.8341578947368424E-2</v>
      </c>
      <c r="P28" s="70">
        <v>5359.46</v>
      </c>
      <c r="Q28" s="76">
        <f t="shared" ref="Q28" si="226">P28/$B28</f>
        <v>0.14103842105263159</v>
      </c>
      <c r="R28" s="70">
        <v>4212.29</v>
      </c>
      <c r="S28" s="76">
        <f t="shared" ref="S28" si="227">R28/$B28</f>
        <v>0.11084973684210526</v>
      </c>
      <c r="T28" s="70">
        <v>5321.44</v>
      </c>
      <c r="U28" s="76">
        <f t="shared" ref="U28" si="228">T28/$B28</f>
        <v>0.14003789473684208</v>
      </c>
      <c r="V28" s="70">
        <v>6054.02</v>
      </c>
      <c r="W28" s="76">
        <f t="shared" ref="W28" si="229">V28/$B28</f>
        <v>0.15931631578947369</v>
      </c>
      <c r="X28" s="70">
        <v>5438.17</v>
      </c>
      <c r="Y28" s="76">
        <f t="shared" ref="Y28" si="230">X28/$B28</f>
        <v>0.14310973684210526</v>
      </c>
      <c r="Z28" s="70">
        <v>5612.29</v>
      </c>
      <c r="AA28" s="76">
        <f t="shared" ref="AA28" si="231">Z28/$B28</f>
        <v>0.14769184210526315</v>
      </c>
      <c r="AB28" s="66">
        <f>D28+F28+H28+J28+L28+N28+P28+R28+T28+V28+X28+Z28</f>
        <v>49004.27</v>
      </c>
      <c r="AC28" s="76">
        <f t="shared" si="11"/>
        <v>1.2895860526315788</v>
      </c>
      <c r="AD28" s="90">
        <f t="shared" si="106"/>
        <v>68279.282866666661</v>
      </c>
    </row>
    <row r="29" spans="1:30" x14ac:dyDescent="0.25">
      <c r="A29" s="42" t="s">
        <v>18</v>
      </c>
      <c r="B29" s="36">
        <v>220000</v>
      </c>
      <c r="C29" s="36">
        <f t="shared" si="12"/>
        <v>18333.333333333332</v>
      </c>
      <c r="D29" s="36">
        <f>SUM(D30:D33)</f>
        <v>33876.589999999997</v>
      </c>
      <c r="E29" s="72">
        <f t="shared" si="0"/>
        <v>0.1539845</v>
      </c>
      <c r="F29" s="36">
        <f>SUM(F30:F33)</f>
        <v>41966.09</v>
      </c>
      <c r="G29" s="72">
        <f t="shared" si="0"/>
        <v>0.19075495454545452</v>
      </c>
      <c r="H29" s="36">
        <f>SUM(H30:H33)</f>
        <v>34461.79</v>
      </c>
      <c r="I29" s="72">
        <f t="shared" ref="I29" si="232">H29/$B29</f>
        <v>0.15664449999999999</v>
      </c>
      <c r="J29" s="36">
        <f>SUM(J30:J33)</f>
        <v>63919.83</v>
      </c>
      <c r="K29" s="72">
        <f t="shared" ref="K29" si="233">J29/$B29</f>
        <v>0.29054468181818183</v>
      </c>
      <c r="L29" s="36">
        <f>SUM(L30:L33)</f>
        <v>30471.59</v>
      </c>
      <c r="M29" s="72">
        <f t="shared" ref="M29" si="234">L29/$B29</f>
        <v>0.13850722727272727</v>
      </c>
      <c r="N29" s="36">
        <f>SUM(N30:N33)</f>
        <v>3473.59</v>
      </c>
      <c r="O29" s="72">
        <f t="shared" ref="O29" si="235">N29/$B29</f>
        <v>1.5789045454545455E-2</v>
      </c>
      <c r="P29" s="36">
        <f>SUM(P30:P33)</f>
        <v>30612.59</v>
      </c>
      <c r="Q29" s="72">
        <f t="shared" ref="Q29" si="236">P29/$B29</f>
        <v>0.13914813636363638</v>
      </c>
      <c r="R29" s="36">
        <f>SUM(R30:R33)</f>
        <v>81157.59</v>
      </c>
      <c r="S29" s="72">
        <f t="shared" ref="S29" si="237">R29/$B29</f>
        <v>0.36889813636363633</v>
      </c>
      <c r="T29" s="36">
        <f>SUM(T30:T33)</f>
        <v>40526.589999999997</v>
      </c>
      <c r="U29" s="72">
        <f t="shared" ref="U29" si="238">T29/$B29</f>
        <v>0.18421177272727271</v>
      </c>
      <c r="V29" s="36">
        <f>SUM(V30:V33)</f>
        <v>39222.160000000003</v>
      </c>
      <c r="W29" s="72">
        <f t="shared" ref="W29" si="239">V29/$B29</f>
        <v>0.17828254545454547</v>
      </c>
      <c r="X29" s="36">
        <f>SUM(X30:X33)</f>
        <v>5925.59</v>
      </c>
      <c r="Y29" s="72">
        <f t="shared" ref="Y29" si="240">X29/$B29</f>
        <v>2.69345E-2</v>
      </c>
      <c r="Z29" s="36">
        <f>SUM(Z30:Z33)</f>
        <v>2465.59</v>
      </c>
      <c r="AA29" s="72">
        <f t="shared" ref="AA29" si="241">Z29/$B29</f>
        <v>1.1207227272727273E-2</v>
      </c>
      <c r="AB29" s="36">
        <f t="shared" ref="AB29:AD29" si="242">SUM(AB30:AB33)</f>
        <v>389639.58999999997</v>
      </c>
      <c r="AC29" s="72">
        <f t="shared" si="11"/>
        <v>1.7710890454545454</v>
      </c>
      <c r="AD29" s="36">
        <f t="shared" si="242"/>
        <v>306414.49539999996</v>
      </c>
    </row>
    <row r="30" spans="1:30" x14ac:dyDescent="0.25">
      <c r="A30" s="63" t="s">
        <v>19</v>
      </c>
      <c r="B30" s="66">
        <v>140000</v>
      </c>
      <c r="C30" s="66">
        <f t="shared" si="12"/>
        <v>11666.666666666666</v>
      </c>
      <c r="D30" s="82">
        <v>20000</v>
      </c>
      <c r="E30" s="75">
        <f t="shared" si="0"/>
        <v>0.14285714285714285</v>
      </c>
      <c r="F30" s="82">
        <v>30000</v>
      </c>
      <c r="G30" s="75">
        <f t="shared" si="0"/>
        <v>0.21428571428571427</v>
      </c>
      <c r="H30" s="70">
        <v>20000</v>
      </c>
      <c r="I30" s="75">
        <f t="shared" ref="I30" si="243">H30/$B30</f>
        <v>0.14285714285714285</v>
      </c>
      <c r="J30" s="70">
        <v>40000</v>
      </c>
      <c r="K30" s="75">
        <f t="shared" ref="K30" si="244">J30/$B30</f>
        <v>0.2857142857142857</v>
      </c>
      <c r="L30" s="70">
        <v>20000</v>
      </c>
      <c r="M30" s="75">
        <f t="shared" ref="M30" si="245">L30/$B30</f>
        <v>0.14285714285714285</v>
      </c>
      <c r="N30" s="70"/>
      <c r="O30" s="75">
        <f t="shared" ref="O30" si="246">N30/$B30</f>
        <v>0</v>
      </c>
      <c r="P30" s="70">
        <v>20000</v>
      </c>
      <c r="Q30" s="75">
        <f t="shared" ref="Q30" si="247">P30/$B30</f>
        <v>0.14285714285714285</v>
      </c>
      <c r="R30" s="70">
        <v>60000</v>
      </c>
      <c r="S30" s="75">
        <f t="shared" ref="S30" si="248">R30/$B30</f>
        <v>0.42857142857142855</v>
      </c>
      <c r="T30" s="70">
        <v>20000</v>
      </c>
      <c r="U30" s="75">
        <f t="shared" ref="U30" si="249">T30/$B30</f>
        <v>0.14285714285714285</v>
      </c>
      <c r="V30" s="70">
        <v>20000</v>
      </c>
      <c r="W30" s="75">
        <f t="shared" ref="W30" si="250">V30/$B30</f>
        <v>0.14285714285714285</v>
      </c>
      <c r="X30" s="70"/>
      <c r="Y30" s="75">
        <f t="shared" ref="Y30" si="251">X30/$B30</f>
        <v>0</v>
      </c>
      <c r="Z30" s="70"/>
      <c r="AA30" s="75">
        <f t="shared" ref="AA30" si="252">Z30/$B30</f>
        <v>0</v>
      </c>
      <c r="AB30" s="66">
        <f t="shared" ref="AB30:AB32" si="253">D30+F30+H30+J30+L30+N30+P30+R30+T30+V30+X30+Z30</f>
        <v>250000</v>
      </c>
      <c r="AC30" s="75">
        <f t="shared" si="11"/>
        <v>1.7857142857142858</v>
      </c>
      <c r="AD30" s="66">
        <v>140000</v>
      </c>
    </row>
    <row r="31" spans="1:30" x14ac:dyDescent="0.25">
      <c r="A31" s="63" t="s">
        <v>22</v>
      </c>
      <c r="B31" s="66">
        <v>50000</v>
      </c>
      <c r="C31" s="66">
        <f t="shared" si="12"/>
        <v>4166.666666666667</v>
      </c>
      <c r="D31" s="82"/>
      <c r="E31" s="75">
        <f t="shared" si="0"/>
        <v>0</v>
      </c>
      <c r="F31" s="82">
        <v>2500</v>
      </c>
      <c r="G31" s="75">
        <f t="shared" si="0"/>
        <v>0.05</v>
      </c>
      <c r="H31" s="70">
        <v>10000</v>
      </c>
      <c r="I31" s="75">
        <f t="shared" ref="I31" si="254">H31/$B31</f>
        <v>0.2</v>
      </c>
      <c r="J31" s="70">
        <v>5000</v>
      </c>
      <c r="K31" s="75">
        <f t="shared" ref="K31" si="255">J31/$B31</f>
        <v>0.1</v>
      </c>
      <c r="L31" s="70">
        <v>5000</v>
      </c>
      <c r="M31" s="75">
        <f t="shared" ref="M31" si="256">L31/$B31</f>
        <v>0.1</v>
      </c>
      <c r="N31" s="70"/>
      <c r="O31" s="75">
        <f t="shared" ref="O31" si="257">N31/$B31</f>
        <v>0</v>
      </c>
      <c r="P31" s="70">
        <v>5000</v>
      </c>
      <c r="Q31" s="75">
        <f t="shared" ref="Q31" si="258">P31/$B31</f>
        <v>0.1</v>
      </c>
      <c r="R31" s="70">
        <v>15000</v>
      </c>
      <c r="S31" s="75">
        <f t="shared" ref="S31" si="259">R31/$B31</f>
        <v>0.3</v>
      </c>
      <c r="T31" s="70">
        <v>5000</v>
      </c>
      <c r="U31" s="75">
        <f t="shared" ref="U31" si="260">T31/$B31</f>
        <v>0.1</v>
      </c>
      <c r="V31" s="70">
        <v>5000</v>
      </c>
      <c r="W31" s="75">
        <f t="shared" ref="W31" si="261">V31/$B31</f>
        <v>0.1</v>
      </c>
      <c r="X31" s="70"/>
      <c r="Y31" s="75">
        <f t="shared" ref="Y31" si="262">X31/$B31</f>
        <v>0</v>
      </c>
      <c r="Z31" s="70"/>
      <c r="AA31" s="75">
        <f t="shared" ref="AA31" si="263">Z31/$B31</f>
        <v>0</v>
      </c>
      <c r="AB31" s="66">
        <f t="shared" si="253"/>
        <v>52500</v>
      </c>
      <c r="AC31" s="75">
        <f t="shared" si="11"/>
        <v>1.05</v>
      </c>
      <c r="AD31" s="66">
        <v>35000</v>
      </c>
    </row>
    <row r="32" spans="1:30" x14ac:dyDescent="0.25">
      <c r="A32" s="63" t="s">
        <v>20</v>
      </c>
      <c r="B32" s="66">
        <v>30000</v>
      </c>
      <c r="C32" s="66">
        <f t="shared" si="12"/>
        <v>2500</v>
      </c>
      <c r="D32" s="82">
        <f>6717+7159.59</f>
        <v>13876.59</v>
      </c>
      <c r="E32" s="75">
        <f t="shared" si="0"/>
        <v>0.46255299999999999</v>
      </c>
      <c r="F32" s="82">
        <f>9206.5+259.59</f>
        <v>9466.09</v>
      </c>
      <c r="G32" s="75">
        <f t="shared" si="0"/>
        <v>0.31553633333333336</v>
      </c>
      <c r="H32" s="70">
        <f>4102.2+359.59</f>
        <v>4461.79</v>
      </c>
      <c r="I32" s="75">
        <f t="shared" ref="I32" si="264">H32/$B32</f>
        <v>0.14872633333333332</v>
      </c>
      <c r="J32" s="70">
        <f>8660.12+10259.71</f>
        <v>18919.830000000002</v>
      </c>
      <c r="K32" s="75">
        <f t="shared" ref="K32" si="265">J32/$B32</f>
        <v>0.63066100000000003</v>
      </c>
      <c r="L32" s="70">
        <f>4772+699.59</f>
        <v>5471.59</v>
      </c>
      <c r="M32" s="75">
        <f t="shared" ref="M32" si="266">L32/$B32</f>
        <v>0.18238633333333334</v>
      </c>
      <c r="N32" s="70">
        <f>3214+259.59</f>
        <v>3473.59</v>
      </c>
      <c r="O32" s="75">
        <f t="shared" ref="O32" si="267">N32/$B32</f>
        <v>0.11578633333333334</v>
      </c>
      <c r="P32" s="70">
        <f>2553+259.59</f>
        <v>2812.59</v>
      </c>
      <c r="Q32" s="75">
        <f t="shared" ref="Q32" si="268">P32/$B32</f>
        <v>9.3753000000000003E-2</v>
      </c>
      <c r="R32" s="70">
        <f>3758+2399.59</f>
        <v>6157.59</v>
      </c>
      <c r="S32" s="75">
        <f t="shared" ref="S32" si="269">R32/$B32</f>
        <v>0.20525299999999999</v>
      </c>
      <c r="T32" s="70">
        <f>267+259.59</f>
        <v>526.58999999999992</v>
      </c>
      <c r="U32" s="75">
        <f t="shared" ref="U32" si="270">T32/$B32</f>
        <v>1.7552999999999996E-2</v>
      </c>
      <c r="V32" s="70">
        <v>14222.16</v>
      </c>
      <c r="W32" s="75">
        <f t="shared" ref="W32" si="271">V32/$B32</f>
        <v>0.47407199999999999</v>
      </c>
      <c r="X32" s="70">
        <f>4676+609.59</f>
        <v>5285.59</v>
      </c>
      <c r="Y32" s="75">
        <f t="shared" ref="Y32" si="272">X32/$B32</f>
        <v>0.17618633333333333</v>
      </c>
      <c r="Z32" s="70">
        <f>2206+259.59</f>
        <v>2465.59</v>
      </c>
      <c r="AA32" s="75">
        <f t="shared" ref="AA32" si="273">Z32/$B32</f>
        <v>8.2186333333333333E-2</v>
      </c>
      <c r="AB32" s="66">
        <f t="shared" si="253"/>
        <v>87139.589999999982</v>
      </c>
      <c r="AC32" s="75">
        <f t="shared" si="11"/>
        <v>2.9046529999999993</v>
      </c>
      <c r="AD32" s="66">
        <f t="shared" ref="AD32" si="274">((AB32/9)*$AE$3)*12</f>
        <v>121414.49539999997</v>
      </c>
    </row>
    <row r="33" spans="1:30" x14ac:dyDescent="0.25">
      <c r="A33" s="63" t="s">
        <v>186</v>
      </c>
      <c r="B33" s="66"/>
      <c r="C33" s="66">
        <f t="shared" si="12"/>
        <v>0</v>
      </c>
      <c r="D33" s="82"/>
      <c r="E33" s="75"/>
      <c r="F33" s="82"/>
      <c r="G33" s="75"/>
      <c r="H33" s="70"/>
      <c r="I33" s="75"/>
      <c r="J33" s="70"/>
      <c r="K33" s="75"/>
      <c r="L33" s="70"/>
      <c r="M33" s="75"/>
      <c r="N33" s="70"/>
      <c r="O33" s="75"/>
      <c r="P33" s="70">
        <v>2800</v>
      </c>
      <c r="Q33" s="75"/>
      <c r="R33" s="70"/>
      <c r="S33" s="75"/>
      <c r="T33" s="70">
        <v>15000</v>
      </c>
      <c r="U33" s="75"/>
      <c r="V33" s="70"/>
      <c r="W33" s="75"/>
      <c r="X33" s="70">
        <v>640</v>
      </c>
      <c r="Y33" s="75"/>
      <c r="Z33" s="70"/>
      <c r="AA33" s="75"/>
      <c r="AB33" s="66"/>
      <c r="AC33" s="75"/>
      <c r="AD33" s="90">
        <v>10000</v>
      </c>
    </row>
    <row r="34" spans="1:30" x14ac:dyDescent="0.25">
      <c r="A34" s="42" t="s">
        <v>23</v>
      </c>
      <c r="B34" s="36">
        <v>443655.68070000008</v>
      </c>
      <c r="C34" s="36">
        <f t="shared" si="12"/>
        <v>36971.306725000009</v>
      </c>
      <c r="D34" s="36">
        <f t="shared" ref="D34:F34" si="275">SUM(D35:D40)</f>
        <v>43910</v>
      </c>
      <c r="E34" s="72">
        <f t="shared" si="0"/>
        <v>9.897314947194813E-2</v>
      </c>
      <c r="F34" s="36">
        <f t="shared" si="275"/>
        <v>56885.009999999995</v>
      </c>
      <c r="G34" s="72">
        <f t="shared" si="0"/>
        <v>0.12821882481082358</v>
      </c>
      <c r="H34" s="36">
        <f t="shared" ref="H34" si="276">SUM(H35:H40)</f>
        <v>44981</v>
      </c>
      <c r="I34" s="72">
        <f t="shared" ref="I34" si="277">H34/$B34</f>
        <v>0.10138718370297652</v>
      </c>
      <c r="J34" s="36">
        <f t="shared" ref="J34" si="278">SUM(J35:J40)</f>
        <v>56144</v>
      </c>
      <c r="K34" s="72">
        <f t="shared" ref="K34" si="279">J34/$B34</f>
        <v>0.12654858811097827</v>
      </c>
      <c r="L34" s="36">
        <f t="shared" ref="L34" si="280">SUM(L35:L40)</f>
        <v>61959</v>
      </c>
      <c r="M34" s="72">
        <f t="shared" ref="M34" si="281">L34/$B34</f>
        <v>0.13965559936534808</v>
      </c>
      <c r="N34" s="36">
        <f t="shared" ref="N34" si="282">SUM(N35:N40)</f>
        <v>62369</v>
      </c>
      <c r="O34" s="72">
        <f t="shared" ref="O34" si="283">N34/$B34</f>
        <v>0.14057973945379032</v>
      </c>
      <c r="P34" s="36">
        <f t="shared" ref="P34" si="284">SUM(P35:P40)</f>
        <v>49939</v>
      </c>
      <c r="Q34" s="72">
        <f t="shared" ref="Q34" si="285">P34/$B34</f>
        <v>0.11256251677248047</v>
      </c>
      <c r="R34" s="36">
        <f t="shared" ref="R34" si="286">SUM(R35:R40)</f>
        <v>26794</v>
      </c>
      <c r="S34" s="72">
        <f t="shared" ref="S34" si="287">R34/$B34</f>
        <v>6.0393681779808202E-2</v>
      </c>
      <c r="T34" s="36">
        <f t="shared" ref="T34" si="288">SUM(T35:T40)</f>
        <v>27735</v>
      </c>
      <c r="U34" s="72">
        <f t="shared" ref="U34" si="289">T34/$B34</f>
        <v>6.2514695982793925E-2</v>
      </c>
      <c r="V34" s="36">
        <f t="shared" ref="V34" si="290">SUM(V35:V40)</f>
        <v>32593.5</v>
      </c>
      <c r="W34" s="72">
        <f t="shared" ref="W34" si="291">V34/$B34</f>
        <v>7.3465756030834467E-2</v>
      </c>
      <c r="X34" s="36">
        <f t="shared" ref="X34" si="292">SUM(X35:X40)</f>
        <v>30669</v>
      </c>
      <c r="Y34" s="72">
        <f t="shared" ref="Y34" si="293">X34/$B34</f>
        <v>6.912793261569522E-2</v>
      </c>
      <c r="Z34" s="36">
        <f t="shared" ref="Z34" si="294">SUM(Z35:Z40)</f>
        <v>48318.400000000001</v>
      </c>
      <c r="AA34" s="72">
        <f t="shared" ref="AA34" si="295">Z34/$B34</f>
        <v>0.10890968402289634</v>
      </c>
      <c r="AB34" s="36">
        <f t="shared" ref="AB34:AD34" si="296">SUM(AB35:AB40)</f>
        <v>542296.91</v>
      </c>
      <c r="AC34" s="72">
        <f t="shared" si="11"/>
        <v>1.2223373521203735</v>
      </c>
      <c r="AD34" s="36">
        <f t="shared" si="296"/>
        <v>755600.36126666667</v>
      </c>
    </row>
    <row r="35" spans="1:30" x14ac:dyDescent="0.25">
      <c r="A35" s="18" t="s">
        <v>96</v>
      </c>
      <c r="B35" s="66">
        <v>14824.603499999999</v>
      </c>
      <c r="C35" s="66">
        <f t="shared" si="12"/>
        <v>1235.3836249999999</v>
      </c>
      <c r="D35" s="82">
        <v>1013</v>
      </c>
      <c r="E35" s="75">
        <f t="shared" si="0"/>
        <v>6.8332350339083275E-2</v>
      </c>
      <c r="F35" s="82">
        <v>855</v>
      </c>
      <c r="G35" s="76">
        <f t="shared" si="0"/>
        <v>5.7674392438219348E-2</v>
      </c>
      <c r="H35" s="70">
        <v>684</v>
      </c>
      <c r="I35" s="76">
        <f t="shared" ref="I35" si="297">H35/$B35</f>
        <v>4.6139513950575479E-2</v>
      </c>
      <c r="J35" s="70">
        <v>11434</v>
      </c>
      <c r="K35" s="76">
        <f t="shared" ref="K35" si="298">J35/$B35</f>
        <v>0.77128538378783629</v>
      </c>
      <c r="L35" s="70">
        <f>8534-2500</f>
        <v>6034</v>
      </c>
      <c r="M35" s="76">
        <f t="shared" ref="M35" si="299">L35/$B35</f>
        <v>0.4070260631253983</v>
      </c>
      <c r="N35" s="70">
        <v>4234</v>
      </c>
      <c r="O35" s="76">
        <f t="shared" ref="O35" si="300">N35/$B35</f>
        <v>0.28560628957125228</v>
      </c>
      <c r="P35" s="70">
        <v>6234</v>
      </c>
      <c r="Q35" s="76">
        <f t="shared" ref="Q35" si="301">P35/$B35</f>
        <v>0.42051714907585896</v>
      </c>
      <c r="R35" s="70">
        <v>684</v>
      </c>
      <c r="S35" s="76">
        <f t="shared" ref="S35" si="302">R35/$B35</f>
        <v>4.6139513950575479E-2</v>
      </c>
      <c r="T35" s="70">
        <v>1505</v>
      </c>
      <c r="U35" s="76">
        <f t="shared" ref="U35" si="303">T35/$B35</f>
        <v>0.10152042177721651</v>
      </c>
      <c r="V35" s="70">
        <v>855</v>
      </c>
      <c r="W35" s="76">
        <f t="shared" ref="W35" si="304">V35/$B35</f>
        <v>5.7674392438219348E-2</v>
      </c>
      <c r="X35" s="70">
        <v>855</v>
      </c>
      <c r="Y35" s="76">
        <f t="shared" ref="Y35" si="305">X35/$B35</f>
        <v>5.7674392438219348E-2</v>
      </c>
      <c r="Z35" s="70">
        <v>17695</v>
      </c>
      <c r="AA35" s="76">
        <f t="shared" ref="AA35" si="306">Z35/$B35</f>
        <v>1.1936238294670074</v>
      </c>
      <c r="AB35" s="66">
        <f t="shared" ref="AB35:AB40" si="307">D35+F35+H35+J35+L35+N35+P35+R35+T35+V35+X35+Z35</f>
        <v>52082</v>
      </c>
      <c r="AC35" s="76">
        <f t="shared" si="11"/>
        <v>3.5132136923594621</v>
      </c>
      <c r="AD35" s="66">
        <f t="shared" ref="AD35:AD40" si="308">((AB35/9)*$AE$3)*12</f>
        <v>72567.58666666667</v>
      </c>
    </row>
    <row r="36" spans="1:30" x14ac:dyDescent="0.25">
      <c r="A36" s="18" t="s">
        <v>132</v>
      </c>
      <c r="B36" s="66">
        <v>20622.427199999998</v>
      </c>
      <c r="C36" s="66">
        <f t="shared" si="12"/>
        <v>1718.5355999999999</v>
      </c>
      <c r="D36" s="82">
        <v>9000</v>
      </c>
      <c r="E36" s="75">
        <f t="shared" si="0"/>
        <v>0.43641807594791754</v>
      </c>
      <c r="F36" s="82">
        <v>27600.01</v>
      </c>
      <c r="G36" s="76">
        <f t="shared" si="0"/>
        <v>1.3383492511492536</v>
      </c>
      <c r="H36" s="70"/>
      <c r="I36" s="76">
        <f t="shared" ref="I36" si="309">H36/$B36</f>
        <v>0</v>
      </c>
      <c r="J36" s="70">
        <v>200</v>
      </c>
      <c r="K36" s="76">
        <f t="shared" ref="K36" si="310">J36/$B36</f>
        <v>9.6981794655092782E-3</v>
      </c>
      <c r="L36" s="70">
        <v>9310</v>
      </c>
      <c r="M36" s="76">
        <f t="shared" ref="M36" si="311">L36/$B36</f>
        <v>0.45145025411945694</v>
      </c>
      <c r="N36" s="70">
        <v>5500</v>
      </c>
      <c r="O36" s="76">
        <f t="shared" ref="O36" si="312">N36/$B36</f>
        <v>0.26669993530150515</v>
      </c>
      <c r="P36" s="70"/>
      <c r="Q36" s="76">
        <f t="shared" ref="Q36" si="313">P36/$B36</f>
        <v>0</v>
      </c>
      <c r="R36" s="70">
        <v>360</v>
      </c>
      <c r="S36" s="76">
        <f t="shared" ref="S36" si="314">R36/$B36</f>
        <v>1.7456723037916701E-2</v>
      </c>
      <c r="T36" s="70">
        <v>180</v>
      </c>
      <c r="U36" s="76">
        <f t="shared" ref="U36" si="315">T36/$B36</f>
        <v>8.7283615189583507E-3</v>
      </c>
      <c r="V36" s="70"/>
      <c r="W36" s="76">
        <f t="shared" ref="W36" si="316">V36/$B36</f>
        <v>0</v>
      </c>
      <c r="X36" s="70">
        <v>3240</v>
      </c>
      <c r="Y36" s="76">
        <f t="shared" ref="Y36" si="317">X36/$B36</f>
        <v>0.15711050734125032</v>
      </c>
      <c r="Z36" s="70">
        <v>180</v>
      </c>
      <c r="AA36" s="76">
        <f t="shared" ref="AA36" si="318">Z36/$B36</f>
        <v>8.7283615189583507E-3</v>
      </c>
      <c r="AB36" s="66">
        <f t="shared" si="307"/>
        <v>55570.009999999995</v>
      </c>
      <c r="AC36" s="76">
        <f t="shared" si="11"/>
        <v>2.6946396494007261</v>
      </c>
      <c r="AD36" s="66">
        <f t="shared" si="308"/>
        <v>77427.547266666646</v>
      </c>
    </row>
    <row r="37" spans="1:30" x14ac:dyDescent="0.25">
      <c r="A37" s="18" t="s">
        <v>94</v>
      </c>
      <c r="B37" s="66">
        <v>0</v>
      </c>
      <c r="C37" s="66">
        <f t="shared" si="12"/>
        <v>0</v>
      </c>
      <c r="D37" s="82"/>
      <c r="E37" s="75"/>
      <c r="F37" s="82"/>
      <c r="G37" s="76"/>
      <c r="H37" s="70"/>
      <c r="I37" s="76"/>
      <c r="J37" s="70"/>
      <c r="K37" s="76"/>
      <c r="L37" s="70"/>
      <c r="M37" s="76"/>
      <c r="N37" s="70"/>
      <c r="O37" s="76"/>
      <c r="P37" s="70"/>
      <c r="Q37" s="76"/>
      <c r="R37" s="70"/>
      <c r="S37" s="76"/>
      <c r="T37" s="70"/>
      <c r="U37" s="76"/>
      <c r="V37" s="70"/>
      <c r="W37" s="76"/>
      <c r="X37" s="70"/>
      <c r="Y37" s="76"/>
      <c r="Z37" s="70"/>
      <c r="AA37" s="76"/>
      <c r="AB37" s="66">
        <f t="shared" si="307"/>
        <v>0</v>
      </c>
      <c r="AC37" s="76"/>
      <c r="AD37" s="66">
        <f t="shared" si="308"/>
        <v>0</v>
      </c>
    </row>
    <row r="38" spans="1:30" x14ac:dyDescent="0.25">
      <c r="A38" s="18" t="s">
        <v>105</v>
      </c>
      <c r="B38" s="66">
        <v>23166.3</v>
      </c>
      <c r="C38" s="66">
        <f t="shared" si="12"/>
        <v>1930.5249999999999</v>
      </c>
      <c r="D38" s="82"/>
      <c r="E38" s="75">
        <f t="shared" si="0"/>
        <v>0</v>
      </c>
      <c r="F38" s="82"/>
      <c r="G38" s="76">
        <f t="shared" si="0"/>
        <v>0</v>
      </c>
      <c r="H38" s="70">
        <v>940</v>
      </c>
      <c r="I38" s="76">
        <f t="shared" ref="I38" si="319">H38/$B38</f>
        <v>4.0576181781294379E-2</v>
      </c>
      <c r="J38" s="70"/>
      <c r="K38" s="76">
        <f t="shared" ref="K38" si="320">J38/$B38</f>
        <v>0</v>
      </c>
      <c r="L38" s="70">
        <v>470</v>
      </c>
      <c r="M38" s="76">
        <f t="shared" ref="M38" si="321">L38/$B38</f>
        <v>2.028809089064719E-2</v>
      </c>
      <c r="N38" s="70">
        <v>3890</v>
      </c>
      <c r="O38" s="76">
        <f t="shared" ref="O38" si="322">N38/$B38</f>
        <v>0.16791632673322887</v>
      </c>
      <c r="P38" s="70"/>
      <c r="Q38" s="76">
        <f t="shared" ref="Q38" si="323">P38/$B38</f>
        <v>0</v>
      </c>
      <c r="R38" s="70"/>
      <c r="S38" s="76">
        <f t="shared" ref="S38" si="324">R38/$B38</f>
        <v>0</v>
      </c>
      <c r="T38" s="70">
        <v>940</v>
      </c>
      <c r="U38" s="76">
        <f t="shared" ref="U38" si="325">T38/$B38</f>
        <v>4.0576181781294379E-2</v>
      </c>
      <c r="V38" s="70"/>
      <c r="W38" s="76">
        <f t="shared" ref="W38" si="326">V38/$B38</f>
        <v>0</v>
      </c>
      <c r="X38" s="70"/>
      <c r="Y38" s="76">
        <f t="shared" ref="Y38" si="327">X38/$B38</f>
        <v>0</v>
      </c>
      <c r="Z38" s="70"/>
      <c r="AA38" s="76">
        <f t="shared" ref="AA38" si="328">Z38/$B38</f>
        <v>0</v>
      </c>
      <c r="AB38" s="66">
        <f t="shared" si="307"/>
        <v>6240</v>
      </c>
      <c r="AC38" s="76">
        <f t="shared" si="11"/>
        <v>0.26935678118646483</v>
      </c>
      <c r="AD38" s="66">
        <f t="shared" si="308"/>
        <v>8694.4</v>
      </c>
    </row>
    <row r="39" spans="1:30" x14ac:dyDescent="0.25">
      <c r="A39" s="18" t="s">
        <v>147</v>
      </c>
      <c r="B39" s="66">
        <v>0</v>
      </c>
      <c r="C39" s="66">
        <f t="shared" si="12"/>
        <v>0</v>
      </c>
      <c r="D39" s="82"/>
      <c r="E39" s="75"/>
      <c r="F39" s="82"/>
      <c r="G39" s="76"/>
      <c r="H39" s="70"/>
      <c r="I39" s="76"/>
      <c r="J39" s="70"/>
      <c r="K39" s="76"/>
      <c r="L39" s="70"/>
      <c r="M39" s="76"/>
      <c r="N39" s="70"/>
      <c r="O39" s="76"/>
      <c r="P39" s="70"/>
      <c r="Q39" s="76"/>
      <c r="R39" s="70"/>
      <c r="S39" s="76"/>
      <c r="T39" s="70"/>
      <c r="U39" s="76"/>
      <c r="V39" s="70"/>
      <c r="W39" s="76"/>
      <c r="X39" s="70"/>
      <c r="Y39" s="76"/>
      <c r="Z39" s="70"/>
      <c r="AA39" s="76"/>
      <c r="AB39" s="66">
        <f t="shared" si="307"/>
        <v>0</v>
      </c>
      <c r="AC39" s="76"/>
      <c r="AD39" s="66">
        <f t="shared" si="308"/>
        <v>0</v>
      </c>
    </row>
    <row r="40" spans="1:30" x14ac:dyDescent="0.25">
      <c r="A40" s="34" t="s">
        <v>152</v>
      </c>
      <c r="B40" s="66">
        <v>385042.35000000009</v>
      </c>
      <c r="C40" s="66">
        <f t="shared" si="12"/>
        <v>32086.862500000007</v>
      </c>
      <c r="D40" s="82">
        <v>33897</v>
      </c>
      <c r="E40" s="75">
        <f t="shared" si="0"/>
        <v>8.8034472052230084E-2</v>
      </c>
      <c r="F40" s="82">
        <v>28430</v>
      </c>
      <c r="G40" s="76">
        <f t="shared" si="0"/>
        <v>7.3836033880428975E-2</v>
      </c>
      <c r="H40" s="70">
        <f>43877-520</f>
        <v>43357</v>
      </c>
      <c r="I40" s="76">
        <f t="shared" ref="I40" si="329">H40/$B40</f>
        <v>0.11260319806379737</v>
      </c>
      <c r="J40" s="70">
        <v>44510</v>
      </c>
      <c r="K40" s="76">
        <f t="shared" ref="K40" si="330">J40/$B40</f>
        <v>0.11559767386626429</v>
      </c>
      <c r="L40" s="70">
        <v>46145</v>
      </c>
      <c r="M40" s="76">
        <f t="shared" ref="M40" si="331">L40/$B40</f>
        <v>0.11984396002154046</v>
      </c>
      <c r="N40" s="70">
        <v>48745</v>
      </c>
      <c r="O40" s="76">
        <f t="shared" ref="O40" si="332">N40/$B40</f>
        <v>0.12659646399934965</v>
      </c>
      <c r="P40" s="70">
        <v>43705</v>
      </c>
      <c r="Q40" s="76">
        <f t="shared" ref="Q40" si="333">P40/$B40</f>
        <v>0.11350699475005799</v>
      </c>
      <c r="R40" s="70">
        <v>25750</v>
      </c>
      <c r="S40" s="76">
        <f t="shared" ref="S40" si="334">R40/$B40</f>
        <v>6.6875760549456431E-2</v>
      </c>
      <c r="T40" s="70">
        <v>25110</v>
      </c>
      <c r="U40" s="76">
        <f t="shared" ref="U40" si="335">T40/$B40</f>
        <v>6.5213605724149554E-2</v>
      </c>
      <c r="V40" s="70">
        <v>31738.5</v>
      </c>
      <c r="W40" s="76">
        <f t="shared" ref="W40" si="336">V40/$B40</f>
        <v>8.2428595192191173E-2</v>
      </c>
      <c r="X40" s="70">
        <v>26574</v>
      </c>
      <c r="Y40" s="76">
        <f t="shared" ref="Y40" si="337">X40/$B40</f>
        <v>6.9015784887039036E-2</v>
      </c>
      <c r="Z40" s="70">
        <v>30443.4</v>
      </c>
      <c r="AA40" s="76">
        <f t="shared" ref="AA40" si="338">Z40/$B40</f>
        <v>7.9065069076167838E-2</v>
      </c>
      <c r="AB40" s="66">
        <f t="shared" si="307"/>
        <v>428404.9</v>
      </c>
      <c r="AC40" s="76">
        <f t="shared" si="11"/>
        <v>1.112617612062673</v>
      </c>
      <c r="AD40" s="66">
        <f t="shared" si="308"/>
        <v>596910.82733333332</v>
      </c>
    </row>
    <row r="41" spans="1:30" x14ac:dyDescent="0.25">
      <c r="A41" s="42" t="s">
        <v>137</v>
      </c>
      <c r="B41" s="36">
        <v>105127.6226</v>
      </c>
      <c r="C41" s="36">
        <f t="shared" si="12"/>
        <v>8760.6352166666675</v>
      </c>
      <c r="D41" s="36">
        <f>SUM(D42:D45)</f>
        <v>0</v>
      </c>
      <c r="E41" s="72">
        <f t="shared" si="0"/>
        <v>0</v>
      </c>
      <c r="F41" s="36">
        <f>SUM(F42:F45)</f>
        <v>0</v>
      </c>
      <c r="G41" s="72">
        <f t="shared" si="0"/>
        <v>0</v>
      </c>
      <c r="H41" s="36">
        <f>SUM(H42:H45)</f>
        <v>0</v>
      </c>
      <c r="I41" s="72">
        <f t="shared" ref="I41" si="339">H41/$B41</f>
        <v>0</v>
      </c>
      <c r="J41" s="36">
        <f>SUM(J42:J45)</f>
        <v>11943.75</v>
      </c>
      <c r="K41" s="72">
        <f t="shared" ref="K41" si="340">J41/$B41</f>
        <v>0.11361191002525343</v>
      </c>
      <c r="L41" s="36">
        <f>SUM(L42:L45)</f>
        <v>100</v>
      </c>
      <c r="M41" s="72">
        <f t="shared" ref="M41" si="341">L41/$B41</f>
        <v>9.5122478304764785E-4</v>
      </c>
      <c r="N41" s="36">
        <f>SUM(N42:N45)</f>
        <v>76937</v>
      </c>
      <c r="O41" s="72">
        <f t="shared" ref="O41" si="342">N41/$B41</f>
        <v>0.73184381133336884</v>
      </c>
      <c r="P41" s="36">
        <f>SUM(P42:P45)</f>
        <v>0</v>
      </c>
      <c r="Q41" s="72">
        <f t="shared" ref="Q41" si="343">P41/$B41</f>
        <v>0</v>
      </c>
      <c r="R41" s="36">
        <f>SUM(R42:R45)</f>
        <v>0</v>
      </c>
      <c r="S41" s="72">
        <f t="shared" ref="S41" si="344">R41/$B41</f>
        <v>0</v>
      </c>
      <c r="T41" s="36">
        <f>SUM(T42:T45)</f>
        <v>0</v>
      </c>
      <c r="U41" s="72">
        <f t="shared" ref="U41" si="345">T41/$B41</f>
        <v>0</v>
      </c>
      <c r="V41" s="36">
        <f>SUM(V42:V45)</f>
        <v>2730</v>
      </c>
      <c r="W41" s="72">
        <f t="shared" ref="W41" si="346">V41/$B41</f>
        <v>2.5968436577200785E-2</v>
      </c>
      <c r="X41" s="36">
        <f>SUM(X42:X45)</f>
        <v>900</v>
      </c>
      <c r="Y41" s="72">
        <f t="shared" ref="Y41" si="347">X41/$B41</f>
        <v>8.5610230474288309E-3</v>
      </c>
      <c r="Z41" s="36">
        <f>SUM(Z42:Z45)</f>
        <v>0</v>
      </c>
      <c r="AA41" s="72">
        <f t="shared" ref="AA41" si="348">Z41/$B41</f>
        <v>0</v>
      </c>
      <c r="AB41" s="36">
        <f t="shared" ref="AB41:AD41" si="349">SUM(AB42:AB45)</f>
        <v>92610.75</v>
      </c>
      <c r="AC41" s="72">
        <f t="shared" si="11"/>
        <v>0.8809364057662995</v>
      </c>
      <c r="AD41" s="36">
        <f t="shared" si="349"/>
        <v>104638.66499999999</v>
      </c>
    </row>
    <row r="42" spans="1:30" x14ac:dyDescent="0.25">
      <c r="A42" s="63" t="s">
        <v>9</v>
      </c>
      <c r="B42" s="66">
        <v>0</v>
      </c>
      <c r="C42" s="66">
        <f t="shared" si="12"/>
        <v>0</v>
      </c>
      <c r="D42" s="70"/>
      <c r="E42" s="75"/>
      <c r="F42" s="70"/>
      <c r="G42" s="75"/>
      <c r="H42" s="70"/>
      <c r="I42" s="75"/>
      <c r="J42" s="70"/>
      <c r="K42" s="75"/>
      <c r="L42" s="70"/>
      <c r="M42" s="75"/>
      <c r="N42" s="70"/>
      <c r="O42" s="75"/>
      <c r="P42" s="70"/>
      <c r="Q42" s="75"/>
      <c r="R42" s="70"/>
      <c r="S42" s="75"/>
      <c r="T42" s="70"/>
      <c r="U42" s="75"/>
      <c r="V42" s="70">
        <v>780</v>
      </c>
      <c r="W42" s="75"/>
      <c r="X42" s="70"/>
      <c r="Y42" s="75"/>
      <c r="Z42" s="70"/>
      <c r="AA42" s="75"/>
      <c r="AB42" s="66">
        <f t="shared" ref="AB42:AB45" si="350">D42+F42+H42+J42+L42+N42+P42+R42+T42+V42+X42+Z42</f>
        <v>780</v>
      </c>
      <c r="AC42" s="75"/>
      <c r="AD42" s="66">
        <v>1000</v>
      </c>
    </row>
    <row r="43" spans="1:30" x14ac:dyDescent="0.25">
      <c r="A43" s="63" t="s">
        <v>10</v>
      </c>
      <c r="B43" s="66">
        <v>28826.922600000002</v>
      </c>
      <c r="C43" s="66">
        <f t="shared" si="12"/>
        <v>2402.2435500000001</v>
      </c>
      <c r="D43" s="70"/>
      <c r="E43" s="75">
        <f t="shared" si="0"/>
        <v>0</v>
      </c>
      <c r="F43" s="70"/>
      <c r="G43" s="75">
        <f t="shared" si="0"/>
        <v>0</v>
      </c>
      <c r="H43" s="70"/>
      <c r="I43" s="75">
        <f t="shared" ref="I43" si="351">H43/$B43</f>
        <v>0</v>
      </c>
      <c r="J43" s="70">
        <v>11943.75</v>
      </c>
      <c r="K43" s="75">
        <f t="shared" ref="K43" si="352">J43/$B43</f>
        <v>0.41432622433308225</v>
      </c>
      <c r="L43" s="70"/>
      <c r="M43" s="75">
        <f t="shared" ref="M43" si="353">L43/$B43</f>
        <v>0</v>
      </c>
      <c r="N43" s="70"/>
      <c r="O43" s="75">
        <f t="shared" ref="O43" si="354">N43/$B43</f>
        <v>0</v>
      </c>
      <c r="P43" s="70"/>
      <c r="Q43" s="75">
        <f t="shared" ref="Q43" si="355">P43/$B43</f>
        <v>0</v>
      </c>
      <c r="R43" s="70"/>
      <c r="S43" s="75">
        <f t="shared" ref="S43" si="356">R43/$B43</f>
        <v>0</v>
      </c>
      <c r="T43" s="70"/>
      <c r="U43" s="75">
        <f t="shared" ref="U43" si="357">T43/$B43</f>
        <v>0</v>
      </c>
      <c r="V43" s="70"/>
      <c r="W43" s="75">
        <f t="shared" ref="W43" si="358">V43/$B43</f>
        <v>0</v>
      </c>
      <c r="X43" s="70"/>
      <c r="Y43" s="75">
        <f t="shared" ref="Y43" si="359">X43/$B43</f>
        <v>0</v>
      </c>
      <c r="Z43" s="70"/>
      <c r="AA43" s="75">
        <f t="shared" ref="AA43" si="360">Z43/$B43</f>
        <v>0</v>
      </c>
      <c r="AB43" s="66">
        <f t="shared" si="350"/>
        <v>11943.75</v>
      </c>
      <c r="AC43" s="75">
        <f t="shared" si="11"/>
        <v>0.41432622433308225</v>
      </c>
      <c r="AD43" s="90">
        <v>20000</v>
      </c>
    </row>
    <row r="44" spans="1:30" x14ac:dyDescent="0.25">
      <c r="A44" s="63" t="s">
        <v>11</v>
      </c>
      <c r="B44" s="66">
        <v>74300.7</v>
      </c>
      <c r="C44" s="66">
        <f t="shared" si="12"/>
        <v>6191.7249999999995</v>
      </c>
      <c r="D44" s="70"/>
      <c r="E44" s="75">
        <f t="shared" si="0"/>
        <v>0</v>
      </c>
      <c r="F44" s="70"/>
      <c r="G44" s="75">
        <f t="shared" si="0"/>
        <v>0</v>
      </c>
      <c r="H44" s="70"/>
      <c r="I44" s="75">
        <f t="shared" ref="I44" si="361">H44/$B44</f>
        <v>0</v>
      </c>
      <c r="J44" s="70"/>
      <c r="K44" s="75">
        <f t="shared" ref="K44" si="362">J44/$B44</f>
        <v>0</v>
      </c>
      <c r="L44" s="70">
        <v>100</v>
      </c>
      <c r="M44" s="75">
        <f t="shared" ref="M44" si="363">L44/$B44</f>
        <v>1.3458823402740486E-3</v>
      </c>
      <c r="N44" s="70">
        <v>76937</v>
      </c>
      <c r="O44" s="75">
        <f t="shared" ref="O44" si="364">N44/$B44</f>
        <v>1.0354814961366448</v>
      </c>
      <c r="P44" s="70"/>
      <c r="Q44" s="75">
        <f t="shared" ref="Q44" si="365">P44/$B44</f>
        <v>0</v>
      </c>
      <c r="R44" s="70"/>
      <c r="S44" s="75">
        <f t="shared" ref="S44" si="366">R44/$B44</f>
        <v>0</v>
      </c>
      <c r="T44" s="70"/>
      <c r="U44" s="75">
        <f t="shared" ref="U44" si="367">T44/$B44</f>
        <v>0</v>
      </c>
      <c r="V44" s="70"/>
      <c r="W44" s="75">
        <f t="shared" ref="W44" si="368">V44/$B44</f>
        <v>0</v>
      </c>
      <c r="X44" s="70"/>
      <c r="Y44" s="75">
        <f t="shared" ref="Y44" si="369">X44/$B44</f>
        <v>0</v>
      </c>
      <c r="Z44" s="70"/>
      <c r="AA44" s="75">
        <f t="shared" ref="AA44" si="370">Z44/$B44</f>
        <v>0</v>
      </c>
      <c r="AB44" s="66">
        <f t="shared" si="350"/>
        <v>77037</v>
      </c>
      <c r="AC44" s="75">
        <f t="shared" si="11"/>
        <v>1.0368273784769189</v>
      </c>
      <c r="AD44" s="66">
        <f>AB44*AE3</f>
        <v>80503.664999999994</v>
      </c>
    </row>
    <row r="45" spans="1:30" x14ac:dyDescent="0.25">
      <c r="A45" s="63" t="s">
        <v>153</v>
      </c>
      <c r="B45" s="66">
        <v>2000</v>
      </c>
      <c r="C45" s="66">
        <f t="shared" si="12"/>
        <v>166.66666666666666</v>
      </c>
      <c r="D45" s="70"/>
      <c r="E45" s="75">
        <f t="shared" si="0"/>
        <v>0</v>
      </c>
      <c r="F45" s="70"/>
      <c r="G45" s="75">
        <f t="shared" si="0"/>
        <v>0</v>
      </c>
      <c r="H45" s="70"/>
      <c r="I45" s="75">
        <f t="shared" ref="I45" si="371">H45/$B45</f>
        <v>0</v>
      </c>
      <c r="J45" s="70"/>
      <c r="K45" s="75">
        <f t="shared" ref="K45" si="372">J45/$B45</f>
        <v>0</v>
      </c>
      <c r="L45" s="70"/>
      <c r="M45" s="75">
        <f t="shared" ref="M45" si="373">L45/$B45</f>
        <v>0</v>
      </c>
      <c r="N45" s="70"/>
      <c r="O45" s="75">
        <f t="shared" ref="O45" si="374">N45/$B45</f>
        <v>0</v>
      </c>
      <c r="P45" s="70"/>
      <c r="Q45" s="75">
        <f t="shared" ref="Q45" si="375">P45/$B45</f>
        <v>0</v>
      </c>
      <c r="R45" s="70"/>
      <c r="S45" s="75">
        <f t="shared" ref="S45" si="376">R45/$B45</f>
        <v>0</v>
      </c>
      <c r="T45" s="70"/>
      <c r="U45" s="75">
        <f t="shared" ref="U45" si="377">T45/$B45</f>
        <v>0</v>
      </c>
      <c r="V45" s="70">
        <v>1950</v>
      </c>
      <c r="W45" s="75">
        <f t="shared" ref="W45" si="378">V45/$B45</f>
        <v>0.97499999999999998</v>
      </c>
      <c r="X45" s="70">
        <v>900</v>
      </c>
      <c r="Y45" s="75">
        <f t="shared" ref="Y45" si="379">X45/$B45</f>
        <v>0.45</v>
      </c>
      <c r="Z45" s="70"/>
      <c r="AA45" s="75">
        <f t="shared" ref="AA45" si="380">Z45/$B45</f>
        <v>0</v>
      </c>
      <c r="AB45" s="66">
        <f t="shared" si="350"/>
        <v>2850</v>
      </c>
      <c r="AC45" s="75">
        <f t="shared" si="11"/>
        <v>1.425</v>
      </c>
      <c r="AD45" s="66">
        <f>(150*AE3)*20</f>
        <v>3135</v>
      </c>
    </row>
    <row r="46" spans="1:30" x14ac:dyDescent="0.25">
      <c r="A46" s="44" t="s">
        <v>24</v>
      </c>
      <c r="B46" s="37">
        <v>5043772.9927499993</v>
      </c>
      <c r="C46" s="37">
        <f t="shared" si="12"/>
        <v>420314.41606249992</v>
      </c>
      <c r="D46" s="37">
        <f>D47+D86+D107+D124+D141+D138+D148+D101</f>
        <v>323428.38000000006</v>
      </c>
      <c r="E46" s="77">
        <f t="shared" si="0"/>
        <v>6.4124293552644263E-2</v>
      </c>
      <c r="F46" s="37">
        <f>F47+F86+F107+F124+F141+F138+F148+F101</f>
        <v>530605.28</v>
      </c>
      <c r="G46" s="77">
        <f t="shared" si="0"/>
        <v>0.10520007160566121</v>
      </c>
      <c r="H46" s="37">
        <f>H47+H86+H107+H124+H141+H138+H148+H101</f>
        <v>425257.91</v>
      </c>
      <c r="I46" s="77">
        <f t="shared" ref="I46" si="381">H46/$B46</f>
        <v>8.4313451579060464E-2</v>
      </c>
      <c r="J46" s="37">
        <f>J47+J86+J107+J124+J141+J138+J148+J101</f>
        <v>413479.33999999997</v>
      </c>
      <c r="K46" s="77">
        <f t="shared" ref="K46" si="382">J46/$B46</f>
        <v>8.1978181927367041E-2</v>
      </c>
      <c r="L46" s="37">
        <f>L47+L86+L107+L124+L141+L138+L148+L101</f>
        <v>351941.76</v>
      </c>
      <c r="M46" s="77">
        <f t="shared" ref="M46" si="383">L46/$B46</f>
        <v>6.9777478190609837E-2</v>
      </c>
      <c r="N46" s="37">
        <f>N47+N86+N107+N124+N141+N138+N148+N101</f>
        <v>486106.16000000003</v>
      </c>
      <c r="O46" s="77">
        <f t="shared" ref="O46" si="384">N46/$B46</f>
        <v>9.637748580254045E-2</v>
      </c>
      <c r="P46" s="37">
        <f>P47+P86+P107+P124+P141+P138+P148+P101</f>
        <v>364059.19</v>
      </c>
      <c r="Q46" s="77">
        <f t="shared" ref="Q46" si="385">P46/$B46</f>
        <v>7.2179931674820522E-2</v>
      </c>
      <c r="R46" s="37">
        <f>R47+R86+R107+R124+R141+R138+R148+R101</f>
        <v>310240.02999999997</v>
      </c>
      <c r="S46" s="77">
        <f t="shared" ref="S46" si="386">R46/$B46</f>
        <v>6.150951489013165E-2</v>
      </c>
      <c r="T46" s="37">
        <f>T47+T86+T107+T124+T141+T138+T148+T101</f>
        <v>365105.94000000006</v>
      </c>
      <c r="U46" s="77">
        <f t="shared" ref="U46" si="387">T46/$B46</f>
        <v>7.2387464805574966E-2</v>
      </c>
      <c r="V46" s="37">
        <f>V47+V86+V107+V124+V141+V138+V148+V101</f>
        <v>457432.86</v>
      </c>
      <c r="W46" s="77">
        <f t="shared" ref="W46" si="388">V46/$B46</f>
        <v>9.0692594741579646E-2</v>
      </c>
      <c r="X46" s="37">
        <f>X47+X86+X107+X124+X141+X138+X148+X101</f>
        <v>376838.69999999995</v>
      </c>
      <c r="Y46" s="77">
        <f t="shared" ref="Y46" si="389">X46/$B46</f>
        <v>7.47136519707913E-2</v>
      </c>
      <c r="Z46" s="37">
        <f>Z47+Z86+Z107+Z124+Z141+Z138+Z148+Z101</f>
        <v>476689.72000000009</v>
      </c>
      <c r="AA46" s="77">
        <f t="shared" ref="AA46" si="390">Z46/$B46</f>
        <v>9.4510542144779636E-2</v>
      </c>
      <c r="AB46" s="37">
        <f>AB47+AB86+AB107+AB124+AB141+AB138+AB148+AB101</f>
        <v>4881185.2699999996</v>
      </c>
      <c r="AC46" s="77">
        <f t="shared" si="11"/>
        <v>0.96776466288556084</v>
      </c>
      <c r="AD46" s="37">
        <f>AD47+AD86+AD107+AD124+AD141+AD138+AD148+AD101</f>
        <v>5923495.8665730013</v>
      </c>
    </row>
    <row r="47" spans="1:30" x14ac:dyDescent="0.25">
      <c r="A47" s="45" t="s">
        <v>25</v>
      </c>
      <c r="B47" s="37">
        <v>2906841.3197499998</v>
      </c>
      <c r="C47" s="37">
        <f t="shared" si="12"/>
        <v>242236.77664583331</v>
      </c>
      <c r="D47" s="37">
        <f>D48+D61+D63+D71+D78</f>
        <v>208543.1</v>
      </c>
      <c r="E47" s="77">
        <f t="shared" si="0"/>
        <v>7.1742168581095986E-2</v>
      </c>
      <c r="F47" s="37">
        <f>F48+F61+F63+F71+F78</f>
        <v>284007.21000000002</v>
      </c>
      <c r="G47" s="77">
        <f t="shared" si="0"/>
        <v>9.7703031834027246E-2</v>
      </c>
      <c r="H47" s="37">
        <f>H48+H61+H63+H71+H78</f>
        <v>235825.87</v>
      </c>
      <c r="I47" s="77">
        <f t="shared" ref="I47" si="391">H47/$B47</f>
        <v>8.1127878703844067E-2</v>
      </c>
      <c r="J47" s="37">
        <f>J48+J61+J63+J71+J78</f>
        <v>244866.15000000002</v>
      </c>
      <c r="K47" s="77">
        <f t="shared" ref="K47" si="392">J47/$B47</f>
        <v>8.4237879906378765E-2</v>
      </c>
      <c r="L47" s="37">
        <f>L48+L61+L63+L71+L78</f>
        <v>198941.11000000002</v>
      </c>
      <c r="M47" s="77">
        <f t="shared" ref="M47" si="393">L47/$B47</f>
        <v>6.8438930136409976E-2</v>
      </c>
      <c r="N47" s="37">
        <f>N48+N61+N63+N71+N78</f>
        <v>201461.98</v>
      </c>
      <c r="O47" s="77">
        <f t="shared" ref="O47" si="394">N47/$B47</f>
        <v>6.930614981671121E-2</v>
      </c>
      <c r="P47" s="37">
        <f>P48+P61+P63+P71+P78</f>
        <v>206362.96</v>
      </c>
      <c r="Q47" s="77">
        <f t="shared" ref="Q47" si="395">P47/$B47</f>
        <v>7.0992165481447073E-2</v>
      </c>
      <c r="R47" s="37">
        <f>R48+R61+R63+R71+R78</f>
        <v>209410.43999999997</v>
      </c>
      <c r="S47" s="77">
        <f t="shared" ref="S47" si="396">R47/$B47</f>
        <v>7.2040547441375349E-2</v>
      </c>
      <c r="T47" s="37">
        <f>T48+T61+T63+T71+T78</f>
        <v>220493.84000000003</v>
      </c>
      <c r="U47" s="77">
        <f t="shared" ref="U47" si="397">T47/$B47</f>
        <v>7.5853414667630847E-2</v>
      </c>
      <c r="V47" s="37">
        <f>V48+V61+V63+V71+V78</f>
        <v>295546.48999999993</v>
      </c>
      <c r="W47" s="77">
        <f t="shared" ref="W47" si="398">V47/$B47</f>
        <v>0.10167272908636724</v>
      </c>
      <c r="X47" s="37">
        <f>X48+X61+X63+X71+X78</f>
        <v>242316.7</v>
      </c>
      <c r="Y47" s="77">
        <f t="shared" ref="Y47" si="399">X47/$B47</f>
        <v>8.3360828248044944E-2</v>
      </c>
      <c r="Z47" s="37">
        <f>Z48+Z61+Z63+Z71+Z78</f>
        <v>285817.36000000004</v>
      </c>
      <c r="AA47" s="77">
        <f t="shared" ref="AA47" si="400">Z47/$B47</f>
        <v>9.8325752444093334E-2</v>
      </c>
      <c r="AB47" s="37">
        <f t="shared" ref="AB47" si="401">AB48+AB61+AB63+AB71+AB78</f>
        <v>2833593.2100000004</v>
      </c>
      <c r="AC47" s="77">
        <f t="shared" si="11"/>
        <v>0.9748014763474262</v>
      </c>
      <c r="AD47" s="37">
        <f>AD48+AD61+AD63+AD71+AD78</f>
        <v>3326012.9043953335</v>
      </c>
    </row>
    <row r="48" spans="1:30" x14ac:dyDescent="0.25">
      <c r="A48" s="46" t="s">
        <v>26</v>
      </c>
      <c r="B48" s="38">
        <v>1666312.5333499999</v>
      </c>
      <c r="C48" s="38">
        <f t="shared" si="12"/>
        <v>138859.37777916665</v>
      </c>
      <c r="D48" s="38">
        <f>SUM(D49:D60)</f>
        <v>115268.74</v>
      </c>
      <c r="E48" s="78">
        <f t="shared" si="0"/>
        <v>6.9175942503571411E-2</v>
      </c>
      <c r="F48" s="38">
        <f>SUM(F49:F60)</f>
        <v>183275.15</v>
      </c>
      <c r="G48" s="78">
        <f t="shared" si="0"/>
        <v>0.10998846034695464</v>
      </c>
      <c r="H48" s="38">
        <f>SUM(H49:H60)</f>
        <v>132563.5</v>
      </c>
      <c r="I48" s="78">
        <f t="shared" ref="I48" si="402">H48/$B48</f>
        <v>7.9555003846421737E-2</v>
      </c>
      <c r="J48" s="38">
        <f>SUM(J49:J60)</f>
        <v>156497.21000000002</v>
      </c>
      <c r="K48" s="78">
        <f t="shared" ref="K48" si="403">J48/$B48</f>
        <v>9.3918281755568253E-2</v>
      </c>
      <c r="L48" s="38">
        <f>SUM(L49:L60)</f>
        <v>111303.89000000001</v>
      </c>
      <c r="M48" s="78">
        <f t="shared" ref="M48" si="404">L48/$B48</f>
        <v>6.6796526925373148E-2</v>
      </c>
      <c r="N48" s="38">
        <f>SUM(N49:N60)</f>
        <v>105886.59999999999</v>
      </c>
      <c r="O48" s="78">
        <f t="shared" ref="O48" si="405">N48/$B48</f>
        <v>6.3545462139159875E-2</v>
      </c>
      <c r="P48" s="38">
        <f>SUM(P49:P60)</f>
        <v>113108.14</v>
      </c>
      <c r="Q48" s="78">
        <f t="shared" ref="Q48" si="406">P48/$B48</f>
        <v>6.7879306994471394E-2</v>
      </c>
      <c r="R48" s="38">
        <f>SUM(R49:R60)</f>
        <v>114381.85999999999</v>
      </c>
      <c r="S48" s="78">
        <f t="shared" ref="S48" si="407">R48/$B48</f>
        <v>6.8643701412989797E-2</v>
      </c>
      <c r="T48" s="38">
        <f>SUM(T49:T60)</f>
        <v>110175.82999999999</v>
      </c>
      <c r="U48" s="78">
        <f t="shared" ref="U48" si="408">T48/$B48</f>
        <v>6.6119547080702501E-2</v>
      </c>
      <c r="V48" s="38">
        <f>SUM(V49:V60)</f>
        <v>200562.13999999998</v>
      </c>
      <c r="W48" s="78">
        <f t="shared" ref="W48" si="409">V48/$B48</f>
        <v>0.12036285869901274</v>
      </c>
      <c r="X48" s="38">
        <f>SUM(X49:X60)</f>
        <v>140117.98000000001</v>
      </c>
      <c r="Y48" s="78">
        <f t="shared" ref="Y48" si="410">X48/$B48</f>
        <v>8.4088655156606795E-2</v>
      </c>
      <c r="Z48" s="38">
        <f>SUM(Z49:Z60)</f>
        <v>169280.50000000003</v>
      </c>
      <c r="AA48" s="78">
        <f t="shared" ref="AA48" si="411">Z48/$B48</f>
        <v>0.10158988581792272</v>
      </c>
      <c r="AB48" s="38">
        <f t="shared" ref="AB48" si="412">SUM(AB49:AB60)</f>
        <v>1652421.5400000003</v>
      </c>
      <c r="AC48" s="78">
        <f t="shared" si="11"/>
        <v>0.99166363267875512</v>
      </c>
      <c r="AD48" s="38">
        <f>SUM(AD49:AD60)</f>
        <v>1666442.2500620002</v>
      </c>
    </row>
    <row r="49" spans="1:31" x14ac:dyDescent="0.25">
      <c r="A49" s="47" t="s">
        <v>27</v>
      </c>
      <c r="B49" s="66">
        <v>936000</v>
      </c>
      <c r="C49" s="66">
        <f t="shared" si="12"/>
        <v>78000</v>
      </c>
      <c r="D49" s="82">
        <f>58534.06-250.89-3891</f>
        <v>54392.17</v>
      </c>
      <c r="E49" s="75">
        <f t="shared" si="0"/>
        <v>5.811129273504273E-2</v>
      </c>
      <c r="F49" s="82">
        <f>66972.36-8.78-2187-15130.29-949.33</f>
        <v>48696.959999999999</v>
      </c>
      <c r="G49" s="76">
        <f t="shared" si="0"/>
        <v>5.2026666666666666E-2</v>
      </c>
      <c r="H49" s="70">
        <f>48723.62-10.3-3710</f>
        <v>45003.32</v>
      </c>
      <c r="I49" s="76">
        <f t="shared" ref="I49" si="413">H49/$B49</f>
        <v>4.8080470085470083E-2</v>
      </c>
      <c r="J49" s="70">
        <f>52060-204.79</f>
        <v>51855.21</v>
      </c>
      <c r="K49" s="76">
        <f t="shared" ref="K49" si="414">J49/$B49</f>
        <v>5.5400865384615382E-2</v>
      </c>
      <c r="L49" s="70">
        <f>51317.16-1847.31</f>
        <v>49469.850000000006</v>
      </c>
      <c r="M49" s="76">
        <f t="shared" ref="M49" si="415">L49/$B49</f>
        <v>5.2852403846153855E-2</v>
      </c>
      <c r="N49" s="70">
        <f>53181.44-597.35-3911</f>
        <v>48673.090000000004</v>
      </c>
      <c r="O49" s="76">
        <f t="shared" ref="O49" si="416">N49/$B49</f>
        <v>5.2001164529914531E-2</v>
      </c>
      <c r="P49" s="70">
        <f>48348.76-250.02-2831</f>
        <v>45267.740000000005</v>
      </c>
      <c r="Q49" s="76">
        <f t="shared" ref="Q49" si="417">P49/$B49</f>
        <v>4.8362970085470094E-2</v>
      </c>
      <c r="R49" s="70">
        <f>52249.51-10.01</f>
        <v>52239.5</v>
      </c>
      <c r="S49" s="76">
        <f t="shared" ref="S49" si="418">R49/$B49</f>
        <v>5.5811431623931623E-2</v>
      </c>
      <c r="T49" s="70">
        <f>55880.47-68.73-4000</f>
        <v>51811.74</v>
      </c>
      <c r="U49" s="76">
        <f t="shared" ref="U49" si="419">T49/$B49</f>
        <v>5.5354423076923072E-2</v>
      </c>
      <c r="V49" s="70">
        <f>82611.17-774.77-3909</f>
        <v>77927.399999999994</v>
      </c>
      <c r="W49" s="76">
        <f t="shared" ref="W49" si="420">V49/$B49</f>
        <v>8.325576923076923E-2</v>
      </c>
      <c r="X49" s="70">
        <f>46476.42-24.37-1112</f>
        <v>45340.049999999996</v>
      </c>
      <c r="Y49" s="76">
        <f t="shared" ref="Y49" si="421">X49/$B49</f>
        <v>4.8440224358974354E-2</v>
      </c>
      <c r="Z49" s="70">
        <f>51236.75-980.02</f>
        <v>50256.73</v>
      </c>
      <c r="AA49" s="76">
        <f t="shared" ref="AA49" si="422">Z49/$B49</f>
        <v>5.3693087606837608E-2</v>
      </c>
      <c r="AB49" s="66">
        <f t="shared" ref="AB49:AB60" si="423">D49+F49+H49+J49+L49+N49+P49+R49+T49+V49+X49+Z49</f>
        <v>620933.76</v>
      </c>
      <c r="AC49" s="76">
        <f t="shared" si="11"/>
        <v>0.66339076923076923</v>
      </c>
      <c r="AD49" s="66">
        <f>(T49*AE3)*12</f>
        <v>649719.21959999995</v>
      </c>
    </row>
    <row r="50" spans="1:31" x14ac:dyDescent="0.25">
      <c r="A50" s="47" t="s">
        <v>95</v>
      </c>
      <c r="B50" s="66"/>
      <c r="C50" s="66">
        <f t="shared" si="12"/>
        <v>0</v>
      </c>
      <c r="D50" s="82">
        <v>11000</v>
      </c>
      <c r="E50" s="75"/>
      <c r="F50" s="82">
        <v>22000</v>
      </c>
      <c r="G50" s="76"/>
      <c r="H50" s="70">
        <v>22000</v>
      </c>
      <c r="I50" s="76"/>
      <c r="J50" s="70">
        <v>22000</v>
      </c>
      <c r="K50" s="76"/>
      <c r="L50" s="70">
        <v>22000</v>
      </c>
      <c r="M50" s="76"/>
      <c r="N50" s="70">
        <v>22000</v>
      </c>
      <c r="O50" s="76"/>
      <c r="P50" s="70">
        <v>22000</v>
      </c>
      <c r="Q50" s="76"/>
      <c r="R50" s="70">
        <v>22000</v>
      </c>
      <c r="S50" s="76"/>
      <c r="T50" s="70">
        <v>22000</v>
      </c>
      <c r="U50" s="76"/>
      <c r="V50" s="70">
        <v>22000</v>
      </c>
      <c r="W50" s="76"/>
      <c r="X50" s="70">
        <v>47000</v>
      </c>
      <c r="Y50" s="76"/>
      <c r="Z50" s="70">
        <v>25000</v>
      </c>
      <c r="AA50" s="76"/>
      <c r="AB50" s="66">
        <f t="shared" si="423"/>
        <v>281000</v>
      </c>
      <c r="AC50" s="76"/>
      <c r="AD50" s="66">
        <f t="shared" ref="AD50:AD51" si="424">((AB50/9)*$AE$3)*12</f>
        <v>391526.66666666663</v>
      </c>
    </row>
    <row r="51" spans="1:31" x14ac:dyDescent="0.25">
      <c r="A51" s="47" t="s">
        <v>28</v>
      </c>
      <c r="B51" s="66">
        <v>30000</v>
      </c>
      <c r="C51" s="66">
        <f t="shared" si="12"/>
        <v>2500</v>
      </c>
      <c r="D51" s="82"/>
      <c r="E51" s="75">
        <f t="shared" si="0"/>
        <v>0</v>
      </c>
      <c r="F51" s="82">
        <v>200</v>
      </c>
      <c r="G51" s="76">
        <f t="shared" si="0"/>
        <v>6.6666666666666671E-3</v>
      </c>
      <c r="H51" s="70">
        <v>550</v>
      </c>
      <c r="I51" s="76">
        <f t="shared" ref="I51" si="425">H51/$B51</f>
        <v>1.8333333333333333E-2</v>
      </c>
      <c r="J51" s="70">
        <v>16892</v>
      </c>
      <c r="K51" s="76">
        <f t="shared" ref="K51" si="426">J51/$B51</f>
        <v>0.56306666666666672</v>
      </c>
      <c r="L51" s="70">
        <v>1400</v>
      </c>
      <c r="M51" s="76">
        <f t="shared" ref="M51" si="427">L51/$B51</f>
        <v>4.6666666666666669E-2</v>
      </c>
      <c r="N51" s="70"/>
      <c r="O51" s="76">
        <f t="shared" ref="O51" si="428">N51/$B51</f>
        <v>0</v>
      </c>
      <c r="P51" s="70"/>
      <c r="Q51" s="76">
        <f t="shared" ref="Q51" si="429">P51/$B51</f>
        <v>0</v>
      </c>
      <c r="R51" s="70">
        <v>1500</v>
      </c>
      <c r="S51" s="76">
        <f t="shared" ref="S51" si="430">R51/$B51</f>
        <v>0.05</v>
      </c>
      <c r="T51" s="70">
        <v>1000</v>
      </c>
      <c r="U51" s="76">
        <f t="shared" ref="U51" si="431">T51/$B51</f>
        <v>3.3333333333333333E-2</v>
      </c>
      <c r="V51" s="70"/>
      <c r="W51" s="76">
        <f t="shared" ref="W51" si="432">V51/$B51</f>
        <v>0</v>
      </c>
      <c r="X51" s="70">
        <v>500</v>
      </c>
      <c r="Y51" s="76">
        <f t="shared" ref="Y51" si="433">X51/$B51</f>
        <v>1.6666666666666666E-2</v>
      </c>
      <c r="Z51" s="70"/>
      <c r="AA51" s="76">
        <f t="shared" ref="AA51" si="434">Z51/$B51</f>
        <v>0</v>
      </c>
      <c r="AB51" s="66">
        <f t="shared" si="423"/>
        <v>22042</v>
      </c>
      <c r="AC51" s="76">
        <f t="shared" si="11"/>
        <v>0.73473333333333335</v>
      </c>
      <c r="AD51" s="66">
        <f t="shared" si="424"/>
        <v>30711.853333333336</v>
      </c>
    </row>
    <row r="52" spans="1:31" x14ac:dyDescent="0.25">
      <c r="A52" s="47" t="s">
        <v>29</v>
      </c>
      <c r="B52" s="66">
        <v>324500</v>
      </c>
      <c r="C52" s="66">
        <f t="shared" si="12"/>
        <v>27041.666666666668</v>
      </c>
      <c r="D52" s="82">
        <f>15556.65+6381.08+650.18</f>
        <v>22587.91</v>
      </c>
      <c r="E52" s="75">
        <f t="shared" si="0"/>
        <v>6.9608351309707245E-2</v>
      </c>
      <c r="F52" s="82">
        <f>14191.94+18839.69+535.83</f>
        <v>33567.46</v>
      </c>
      <c r="G52" s="76">
        <f t="shared" si="0"/>
        <v>0.10344363636363636</v>
      </c>
      <c r="H52" s="70">
        <f>13966.2+5105.58+547.7</f>
        <v>19619.48</v>
      </c>
      <c r="I52" s="76">
        <f t="shared" ref="I52" si="435">H52/$B52</f>
        <v>6.0460647149460707E-2</v>
      </c>
      <c r="J52" s="70">
        <f>16930.11+5983.1+657.38-1329.27</f>
        <v>22241.32</v>
      </c>
      <c r="K52" s="76">
        <f t="shared" ref="K52" si="436">J52/$B52</f>
        <v>6.8540277349768877E-2</v>
      </c>
      <c r="L52" s="70">
        <f>13067.41+4823.56+512.44</f>
        <v>18403.41</v>
      </c>
      <c r="M52" s="76">
        <f t="shared" ref="M52" si="437">L52/$B52</f>
        <v>5.6713127889060092E-2</v>
      </c>
      <c r="N52" s="70">
        <f>13171.52+4711.7+498.48</f>
        <v>18381.7</v>
      </c>
      <c r="O52" s="76">
        <f t="shared" ref="O52" si="438">N52/$B52</f>
        <v>5.6646224961479204E-2</v>
      </c>
      <c r="P52" s="70">
        <f>13833.77+5048.63+537.56</f>
        <v>19419.960000000003</v>
      </c>
      <c r="Q52" s="76">
        <f t="shared" ref="Q52" si="439">P52/$B52</f>
        <v>5.98457935285054E-2</v>
      </c>
      <c r="R52" s="70">
        <f>13450.91+4968.01+570.79</f>
        <v>18989.71</v>
      </c>
      <c r="S52" s="76">
        <f t="shared" ref="S52" si="440">R52/$B52</f>
        <v>5.8519907550077035E-2</v>
      </c>
      <c r="T52" s="70">
        <f>12951.52+5065.81+1881.53</f>
        <v>19898.86</v>
      </c>
      <c r="U52" s="76">
        <f t="shared" ref="U52" si="441">T52/$B52</f>
        <v>6.1321602465331283E-2</v>
      </c>
      <c r="V52" s="70">
        <f>12951.1+56990.62+4406.88-4016-52904.55</f>
        <v>17428.050000000003</v>
      </c>
      <c r="W52" s="76">
        <f t="shared" ref="W52" si="442">V52/$B52</f>
        <v>5.3707395993836678E-2</v>
      </c>
      <c r="X52" s="70">
        <f>11185.7+4195.64+433.95</f>
        <v>15815.29</v>
      </c>
      <c r="Y52" s="76">
        <f t="shared" ref="Y52" si="443">X52/$B52</f>
        <v>4.873741140215717E-2</v>
      </c>
      <c r="Z52" s="70">
        <f>23538.65+9610.81+895.48</f>
        <v>34044.94</v>
      </c>
      <c r="AA52" s="76">
        <f t="shared" ref="AA52" si="444">Z52/$B52</f>
        <v>0.10491506933744223</v>
      </c>
      <c r="AB52" s="66">
        <f t="shared" si="423"/>
        <v>260398.09</v>
      </c>
      <c r="AC52" s="76">
        <f t="shared" si="11"/>
        <v>0.8024594453004622</v>
      </c>
      <c r="AD52" s="66">
        <f>(T52*AE3)*12</f>
        <v>249531.70439999999</v>
      </c>
      <c r="AE52" s="81"/>
    </row>
    <row r="53" spans="1:31" x14ac:dyDescent="0.25">
      <c r="A53" s="64" t="s">
        <v>183</v>
      </c>
      <c r="B53" s="66">
        <v>30000</v>
      </c>
      <c r="C53" s="66">
        <f t="shared" si="12"/>
        <v>2500</v>
      </c>
      <c r="D53" s="82"/>
      <c r="E53" s="75">
        <f t="shared" si="0"/>
        <v>0</v>
      </c>
      <c r="F53" s="82">
        <f>15130.29+949.33+14012.29</f>
        <v>30091.910000000003</v>
      </c>
      <c r="G53" s="75">
        <f t="shared" si="0"/>
        <v>1.0030636666666668</v>
      </c>
      <c r="H53" s="70">
        <v>18201.41</v>
      </c>
      <c r="I53" s="75">
        <f t="shared" ref="I53" si="445">H53/$B53</f>
        <v>0.60671366666666671</v>
      </c>
      <c r="J53" s="70">
        <v>20000</v>
      </c>
      <c r="K53" s="75">
        <f t="shared" ref="K53" si="446">J53/$B53</f>
        <v>0.66666666666666663</v>
      </c>
      <c r="L53" s="70"/>
      <c r="M53" s="75">
        <f t="shared" ref="M53" si="447">L53/$B53</f>
        <v>0</v>
      </c>
      <c r="N53" s="70"/>
      <c r="O53" s="75">
        <f t="shared" ref="O53" si="448">N53/$B53</f>
        <v>0</v>
      </c>
      <c r="P53" s="70"/>
      <c r="Q53" s="75">
        <f t="shared" ref="Q53" si="449">P53/$B53</f>
        <v>0</v>
      </c>
      <c r="R53" s="70"/>
      <c r="S53" s="75">
        <f t="shared" ref="S53" si="450">R53/$B53</f>
        <v>0</v>
      </c>
      <c r="T53" s="70"/>
      <c r="U53" s="75">
        <f t="shared" ref="U53" si="451">T53/$B53</f>
        <v>0</v>
      </c>
      <c r="V53" s="70">
        <f>52904.55</f>
        <v>52904.55</v>
      </c>
      <c r="W53" s="75">
        <f t="shared" ref="W53" si="452">V53/$B53</f>
        <v>1.7634850000000002</v>
      </c>
      <c r="X53" s="70"/>
      <c r="Y53" s="75">
        <f t="shared" ref="Y53" si="453">X53/$B53</f>
        <v>0</v>
      </c>
      <c r="Z53" s="70"/>
      <c r="AA53" s="75">
        <f t="shared" ref="AA53" si="454">Z53/$B53</f>
        <v>0</v>
      </c>
      <c r="AB53" s="66">
        <f t="shared" si="423"/>
        <v>121197.87000000001</v>
      </c>
      <c r="AC53" s="75">
        <f t="shared" si="11"/>
        <v>4.0399290000000008</v>
      </c>
      <c r="AD53" s="90">
        <v>50000</v>
      </c>
    </row>
    <row r="54" spans="1:31" x14ac:dyDescent="0.25">
      <c r="A54" s="64" t="s">
        <v>166</v>
      </c>
      <c r="B54" s="66">
        <v>52718</v>
      </c>
      <c r="C54" s="66">
        <f t="shared" si="12"/>
        <v>4393.166666666667</v>
      </c>
      <c r="D54" s="82">
        <f>5732.13+752.94+312.95+2266+2643.87+365.53+1003.13</f>
        <v>13076.55</v>
      </c>
      <c r="E54" s="75">
        <f t="shared" si="0"/>
        <v>0.24804715656891382</v>
      </c>
      <c r="F54" s="82">
        <v>33487.160000000003</v>
      </c>
      <c r="G54" s="75">
        <f t="shared" si="0"/>
        <v>0.63521302022079751</v>
      </c>
      <c r="H54" s="70">
        <v>14051.17</v>
      </c>
      <c r="I54" s="75">
        <f t="shared" ref="I54" si="455">H54/$B54</f>
        <v>0.26653458021927995</v>
      </c>
      <c r="J54" s="70">
        <v>9686.9699999999993</v>
      </c>
      <c r="K54" s="75">
        <f t="shared" ref="K54" si="456">J54/$B54</f>
        <v>0.18375071133199286</v>
      </c>
      <c r="L54" s="70">
        <v>5478.65</v>
      </c>
      <c r="M54" s="75">
        <f t="shared" ref="M54" si="457">L54/$B54</f>
        <v>0.10392370727265829</v>
      </c>
      <c r="N54" s="70">
        <v>3489.45</v>
      </c>
      <c r="O54" s="75">
        <f t="shared" ref="O54" si="458">N54/$B54</f>
        <v>6.6190864600326263E-2</v>
      </c>
      <c r="P54" s="70">
        <f>12008.4</f>
        <v>12008.4</v>
      </c>
      <c r="Q54" s="75">
        <f t="shared" ref="Q54" si="459">P54/$B54</f>
        <v>0.22778557608406996</v>
      </c>
      <c r="R54" s="70">
        <f>5360.58</f>
        <v>5360.58</v>
      </c>
      <c r="S54" s="75">
        <f t="shared" ref="S54" si="460">R54/$B54</f>
        <v>0.10168405478204788</v>
      </c>
      <c r="T54" s="70">
        <v>386.89</v>
      </c>
      <c r="U54" s="75">
        <f t="shared" ref="U54" si="461">T54/$B54</f>
        <v>7.3388595925490338E-3</v>
      </c>
      <c r="V54" s="70">
        <f>15255.42-1376.89</f>
        <v>13878.53</v>
      </c>
      <c r="W54" s="75">
        <f t="shared" ref="W54" si="462">V54/$B54</f>
        <v>0.26325979741264843</v>
      </c>
      <c r="X54" s="70">
        <v>2792.16</v>
      </c>
      <c r="Y54" s="75">
        <f t="shared" ref="Y54" si="463">X54/$B54</f>
        <v>5.2964072992146893E-2</v>
      </c>
      <c r="Z54" s="70">
        <v>1968.28</v>
      </c>
      <c r="AA54" s="75">
        <f t="shared" ref="AA54" si="464">Z54/$B54</f>
        <v>3.7336014264577562E-2</v>
      </c>
      <c r="AB54" s="66">
        <f t="shared" si="423"/>
        <v>115664.79</v>
      </c>
      <c r="AC54" s="75">
        <f t="shared" si="11"/>
        <v>2.1940284153420082</v>
      </c>
      <c r="AD54" s="66">
        <f>((AD49/12)/3)*1.355</f>
        <v>24454.709515499999</v>
      </c>
      <c r="AE54" s="81"/>
    </row>
    <row r="55" spans="1:31" x14ac:dyDescent="0.25">
      <c r="A55" s="64" t="s">
        <v>165</v>
      </c>
      <c r="B55" s="66">
        <v>94328</v>
      </c>
      <c r="C55" s="66">
        <f t="shared" si="12"/>
        <v>7860.666666666667</v>
      </c>
      <c r="D55" s="82"/>
      <c r="E55" s="75">
        <f t="shared" si="0"/>
        <v>0</v>
      </c>
      <c r="F55" s="82">
        <v>1898.66</v>
      </c>
      <c r="G55" s="75">
        <f t="shared" si="0"/>
        <v>2.0128275803579003E-2</v>
      </c>
      <c r="H55" s="70"/>
      <c r="I55" s="75">
        <f t="shared" ref="I55" si="465">H55/$B55</f>
        <v>0</v>
      </c>
      <c r="J55" s="70"/>
      <c r="K55" s="75">
        <f t="shared" ref="K55" si="466">J55/$B55</f>
        <v>0</v>
      </c>
      <c r="L55" s="70"/>
      <c r="M55" s="75">
        <f t="shared" ref="M55" si="467">L55/$B55</f>
        <v>0</v>
      </c>
      <c r="N55" s="70"/>
      <c r="O55" s="75">
        <f t="shared" ref="O55" si="468">N55/$B55</f>
        <v>0</v>
      </c>
      <c r="P55" s="70"/>
      <c r="Q55" s="75">
        <f t="shared" ref="Q55" si="469">P55/$B55</f>
        <v>0</v>
      </c>
      <c r="R55" s="70"/>
      <c r="S55" s="75">
        <f t="shared" ref="S55" si="470">R55/$B55</f>
        <v>0</v>
      </c>
      <c r="T55" s="70"/>
      <c r="U55" s="75">
        <f t="shared" ref="U55" si="471">T55/$B55</f>
        <v>0</v>
      </c>
      <c r="V55" s="70"/>
      <c r="W55" s="75">
        <f t="shared" ref="W55" si="472">V55/$B55</f>
        <v>0</v>
      </c>
      <c r="X55" s="70">
        <v>14372.13</v>
      </c>
      <c r="Y55" s="75">
        <f t="shared" ref="Y55" si="473">X55/$B55</f>
        <v>0.15236334916461708</v>
      </c>
      <c r="Z55" s="70">
        <v>44490.45</v>
      </c>
      <c r="AA55" s="75">
        <f t="shared" ref="AA55" si="474">Z55/$B55</f>
        <v>0.47165687812738527</v>
      </c>
      <c r="AB55" s="66">
        <f>D55+F55+H55+J55+L55+N55+P55+R55+T55+V55+X55+Z55</f>
        <v>60761.24</v>
      </c>
      <c r="AC55" s="75">
        <f t="shared" si="11"/>
        <v>0.64414850309558136</v>
      </c>
      <c r="AD55" s="66">
        <f>(AD49/12)*1.355</f>
        <v>73364.128546499996</v>
      </c>
    </row>
    <row r="56" spans="1:31" ht="15.75" customHeight="1" x14ac:dyDescent="0.25">
      <c r="A56" s="64" t="s">
        <v>91</v>
      </c>
      <c r="B56" s="66">
        <v>30661.512299999995</v>
      </c>
      <c r="C56" s="66">
        <f t="shared" si="12"/>
        <v>2555.1260249999996</v>
      </c>
      <c r="D56" s="82">
        <f>2188.82+247.54</f>
        <v>2436.36</v>
      </c>
      <c r="E56" s="75">
        <f t="shared" si="0"/>
        <v>7.945987713071806E-2</v>
      </c>
      <c r="F56" s="82">
        <f>2016+257.44-241.5</f>
        <v>2031.94</v>
      </c>
      <c r="G56" s="75">
        <f t="shared" si="0"/>
        <v>6.6270051526453919E-2</v>
      </c>
      <c r="H56" s="70">
        <f>237.64-251.16+2016</f>
        <v>2002.48</v>
      </c>
      <c r="I56" s="75">
        <f t="shared" ref="I56" si="475">H56/$B56</f>
        <v>6.5309237861695443E-2</v>
      </c>
      <c r="J56" s="70">
        <f>247.54-234.84+2016</f>
        <v>2028.7</v>
      </c>
      <c r="K56" s="75">
        <f t="shared" ref="K56" si="476">J56/$B56</f>
        <v>6.6164381591836893E-2</v>
      </c>
      <c r="L56" s="70">
        <f>237.64+241.5+2352</f>
        <v>2831.14</v>
      </c>
      <c r="M56" s="75">
        <f t="shared" ref="M56" si="477">L56/$B56</f>
        <v>9.2335302065319216E-2</v>
      </c>
      <c r="N56" s="70">
        <f>237.64-231.84+2184</f>
        <v>2189.8000000000002</v>
      </c>
      <c r="O56" s="75">
        <f t="shared" ref="O56" si="478">N56/$B56</f>
        <v>7.1418525563072127E-2</v>
      </c>
      <c r="P56" s="70">
        <f>257.44-231.84+2184</f>
        <v>2209.6</v>
      </c>
      <c r="Q56" s="75">
        <f t="shared" ref="Q56" si="479">P56/$B56</f>
        <v>7.2064286274620581E-2</v>
      </c>
      <c r="R56" s="70">
        <f>227.73-251.16+2184</f>
        <v>2160.5700000000002</v>
      </c>
      <c r="S56" s="75">
        <f t="shared" ref="S56" si="480">R56/$B56</f>
        <v>7.0465213159104367E-2</v>
      </c>
      <c r="T56" s="70">
        <f>227.73-222.18+2184</f>
        <v>2189.5500000000002</v>
      </c>
      <c r="U56" s="75">
        <f t="shared" ref="U56" si="481">T56/$B56</f>
        <v>7.1410372018734403E-2</v>
      </c>
      <c r="V56" s="70">
        <f>227.73-222.18+2016</f>
        <v>2021.55</v>
      </c>
      <c r="W56" s="75">
        <f t="shared" ref="W56" si="482">V56/$B56</f>
        <v>6.5931190223777719E-2</v>
      </c>
      <c r="X56" s="70">
        <f>198.03-212.52+4029.6</f>
        <v>4015.1099999999997</v>
      </c>
      <c r="Y56" s="75">
        <f t="shared" ref="Y56" si="483">X56/$B56</f>
        <v>0.13094950962350282</v>
      </c>
      <c r="Z56" s="70">
        <f>39.61-193.2+2376</f>
        <v>2222.41</v>
      </c>
      <c r="AA56" s="75">
        <f t="shared" ref="AA56" si="484">Z56/$B56</f>
        <v>7.2482073886486031E-2</v>
      </c>
      <c r="AB56" s="66">
        <f t="shared" si="423"/>
        <v>28339.210000000003</v>
      </c>
      <c r="AC56" s="75">
        <f t="shared" si="11"/>
        <v>0.92426002092532167</v>
      </c>
      <c r="AD56" s="66">
        <f>(T56*AE3)*12</f>
        <v>27456.956999999999</v>
      </c>
    </row>
    <row r="57" spans="1:31" x14ac:dyDescent="0.25">
      <c r="A57" s="64" t="s">
        <v>92</v>
      </c>
      <c r="B57" s="66">
        <v>93641.0625</v>
      </c>
      <c r="C57" s="66">
        <f t="shared" si="12"/>
        <v>7803.421875</v>
      </c>
      <c r="D57" s="82">
        <v>6810</v>
      </c>
      <c r="E57" s="75">
        <f t="shared" si="0"/>
        <v>7.2724505875827711E-2</v>
      </c>
      <c r="F57" s="82">
        <v>5951.74</v>
      </c>
      <c r="G57" s="75">
        <f t="shared" si="0"/>
        <v>6.3559082320322882E-2</v>
      </c>
      <c r="H57" s="70">
        <v>5820</v>
      </c>
      <c r="I57" s="75">
        <f t="shared" ref="I57" si="485">H57/$B57</f>
        <v>6.2152220880663328E-2</v>
      </c>
      <c r="J57" s="70">
        <v>6570</v>
      </c>
      <c r="K57" s="75">
        <f t="shared" ref="K57" si="486">J57/$B57</f>
        <v>7.0161527695181802E-2</v>
      </c>
      <c r="L57" s="70">
        <v>6570</v>
      </c>
      <c r="M57" s="75">
        <f t="shared" ref="M57" si="487">L57/$B57</f>
        <v>7.0161527695181802E-2</v>
      </c>
      <c r="N57" s="70">
        <v>6030</v>
      </c>
      <c r="O57" s="75">
        <f t="shared" ref="O57" si="488">N57/$B57</f>
        <v>6.4394826788728501E-2</v>
      </c>
      <c r="P57" s="70">
        <v>7260</v>
      </c>
      <c r="Q57" s="75">
        <f t="shared" ref="Q57" si="489">P57/$B57</f>
        <v>7.7530089964538793E-2</v>
      </c>
      <c r="R57" s="70">
        <v>7062.2</v>
      </c>
      <c r="S57" s="75">
        <f t="shared" ref="S57" si="490">R57/$B57</f>
        <v>7.5417768780656452E-2</v>
      </c>
      <c r="T57" s="70">
        <v>7170</v>
      </c>
      <c r="U57" s="75">
        <f t="shared" ref="U57" si="491">T57/$B57</f>
        <v>7.6568973146796573E-2</v>
      </c>
      <c r="V57" s="70">
        <v>5910</v>
      </c>
      <c r="W57" s="75">
        <f t="shared" ref="W57" si="492">V57/$B57</f>
        <v>6.3113337698405547E-2</v>
      </c>
      <c r="X57" s="70">
        <v>5502.2</v>
      </c>
      <c r="Y57" s="75">
        <f t="shared" ref="Y57" si="493">X57/$B57</f>
        <v>5.8758410606458034E-2</v>
      </c>
      <c r="Z57" s="70">
        <v>5806</v>
      </c>
      <c r="AA57" s="75">
        <f t="shared" ref="AA57" si="494">Z57/$B57</f>
        <v>6.2002713820125656E-2</v>
      </c>
      <c r="AB57" s="66">
        <f t="shared" si="423"/>
        <v>76462.14</v>
      </c>
      <c r="AC57" s="75">
        <f t="shared" si="11"/>
        <v>0.8165449852728871</v>
      </c>
      <c r="AD57" s="66">
        <f>(T57*AE3)*12</f>
        <v>89911.799999999988</v>
      </c>
    </row>
    <row r="58" spans="1:31" x14ac:dyDescent="0.25">
      <c r="A58" s="64" t="s">
        <v>31</v>
      </c>
      <c r="B58" s="66">
        <v>5000</v>
      </c>
      <c r="C58" s="66">
        <f t="shared" si="12"/>
        <v>416.66666666666669</v>
      </c>
      <c r="D58" s="82"/>
      <c r="E58" s="75">
        <f t="shared" si="0"/>
        <v>0</v>
      </c>
      <c r="F58" s="82">
        <v>400</v>
      </c>
      <c r="G58" s="75">
        <f t="shared" si="0"/>
        <v>0.08</v>
      </c>
      <c r="H58" s="70">
        <v>120</v>
      </c>
      <c r="I58" s="75">
        <f t="shared" ref="I58" si="495">H58/$B58</f>
        <v>2.4E-2</v>
      </c>
      <c r="J58" s="70"/>
      <c r="K58" s="75">
        <f t="shared" ref="K58" si="496">J58/$B58</f>
        <v>0</v>
      </c>
      <c r="L58" s="70"/>
      <c r="M58" s="75">
        <f t="shared" ref="M58" si="497">L58/$B58</f>
        <v>0</v>
      </c>
      <c r="N58" s="70">
        <v>200</v>
      </c>
      <c r="O58" s="75">
        <f t="shared" ref="O58" si="498">N58/$B58</f>
        <v>0.04</v>
      </c>
      <c r="P58" s="70"/>
      <c r="Q58" s="75">
        <f t="shared" ref="Q58" si="499">P58/$B58</f>
        <v>0</v>
      </c>
      <c r="R58" s="70"/>
      <c r="S58" s="75">
        <f t="shared" ref="S58" si="500">R58/$B58</f>
        <v>0</v>
      </c>
      <c r="T58" s="70"/>
      <c r="U58" s="75">
        <f t="shared" ref="U58" si="501">T58/$B58</f>
        <v>0</v>
      </c>
      <c r="V58" s="70"/>
      <c r="W58" s="75">
        <f t="shared" ref="W58" si="502">V58/$B58</f>
        <v>0</v>
      </c>
      <c r="X58" s="70"/>
      <c r="Y58" s="75">
        <f t="shared" ref="Y58" si="503">X58/$B58</f>
        <v>0</v>
      </c>
      <c r="Z58" s="70"/>
      <c r="AA58" s="75">
        <f t="shared" ref="AA58" si="504">Z58/$B58</f>
        <v>0</v>
      </c>
      <c r="AB58" s="66">
        <f t="shared" si="423"/>
        <v>720</v>
      </c>
      <c r="AC58" s="75">
        <f t="shared" si="11"/>
        <v>0.14399999999999999</v>
      </c>
      <c r="AD58" s="66">
        <v>2000</v>
      </c>
    </row>
    <row r="59" spans="1:31" x14ac:dyDescent="0.25">
      <c r="A59" s="64" t="s">
        <v>32</v>
      </c>
      <c r="B59" s="66">
        <v>19525.152300000002</v>
      </c>
      <c r="C59" s="66">
        <f t="shared" si="12"/>
        <v>1627.0960250000001</v>
      </c>
      <c r="D59" s="82">
        <v>1715</v>
      </c>
      <c r="E59" s="75">
        <f t="shared" si="0"/>
        <v>8.7835422415629499E-2</v>
      </c>
      <c r="F59" s="82">
        <v>1698.57</v>
      </c>
      <c r="G59" s="75">
        <f t="shared" si="0"/>
        <v>8.6993943704090845E-2</v>
      </c>
      <c r="H59" s="70">
        <f>1714.99+229.9</f>
        <v>1944.89</v>
      </c>
      <c r="I59" s="75">
        <f t="shared" ref="I59" si="505">H59/$B59</f>
        <v>9.9609466298503591E-2</v>
      </c>
      <c r="J59" s="70">
        <f>1702.28+269.98</f>
        <v>1972.26</v>
      </c>
      <c r="K59" s="75">
        <f t="shared" ref="K59" si="506">J59/$B59</f>
        <v>0.10101124793787139</v>
      </c>
      <c r="L59" s="70">
        <v>2765.71</v>
      </c>
      <c r="M59" s="75">
        <f t="shared" ref="M59" si="507">L59/$B59</f>
        <v>0.14164857500240854</v>
      </c>
      <c r="N59" s="70">
        <v>1669.02</v>
      </c>
      <c r="O59" s="75">
        <f t="shared" ref="O59" si="508">N59/$B59</f>
        <v>8.5480511207075185E-2</v>
      </c>
      <c r="P59" s="70">
        <f>1688.9</f>
        <v>1688.9</v>
      </c>
      <c r="Q59" s="75">
        <f t="shared" ref="Q59" si="509">P59/$B59</f>
        <v>8.6498685083240046E-2</v>
      </c>
      <c r="R59" s="70">
        <v>1815.76</v>
      </c>
      <c r="S59" s="75">
        <f t="shared" ref="S59" si="510">R59/$B59</f>
        <v>9.2995945542509284E-2</v>
      </c>
      <c r="T59" s="70">
        <f>1623.67+841.58</f>
        <v>2465.25</v>
      </c>
      <c r="U59" s="75">
        <f t="shared" ref="U59" si="511">T59/$B59</f>
        <v>0.12626021872310825</v>
      </c>
      <c r="V59" s="70">
        <f>1487.52+3751</f>
        <v>5238.5200000000004</v>
      </c>
      <c r="W59" s="75">
        <f t="shared" ref="W59" si="512">V59/$B59</f>
        <v>0.26829598660800202</v>
      </c>
      <c r="X59" s="70">
        <v>1527.5</v>
      </c>
      <c r="Y59" s="75">
        <f t="shared" ref="Y59" si="513">X59/$B59</f>
        <v>7.8232424338118986E-2</v>
      </c>
      <c r="Z59" s="70">
        <f>1449.9+158.83</f>
        <v>1608.73</v>
      </c>
      <c r="AA59" s="75">
        <f t="shared" ref="AA59" si="514">Z59/$B59</f>
        <v>8.2392699185245277E-2</v>
      </c>
      <c r="AB59" s="66">
        <f t="shared" si="423"/>
        <v>26110.11</v>
      </c>
      <c r="AC59" s="75">
        <f t="shared" si="11"/>
        <v>1.337255126045803</v>
      </c>
      <c r="AD59" s="66">
        <f>(T59*AE3)*12</f>
        <v>30914.234999999997</v>
      </c>
    </row>
    <row r="60" spans="1:31" x14ac:dyDescent="0.25">
      <c r="A60" s="47" t="s">
        <v>33</v>
      </c>
      <c r="B60" s="66">
        <v>49938.806250000016</v>
      </c>
      <c r="C60" s="66">
        <f t="shared" si="12"/>
        <v>4161.5671875000016</v>
      </c>
      <c r="D60" s="82">
        <v>3250.75</v>
      </c>
      <c r="E60" s="75">
        <f t="shared" si="0"/>
        <v>6.5094667736475958E-2</v>
      </c>
      <c r="F60" s="82">
        <v>3250.75</v>
      </c>
      <c r="G60" s="76">
        <f t="shared" si="0"/>
        <v>6.5094667736475958E-2</v>
      </c>
      <c r="H60" s="70">
        <v>3250.75</v>
      </c>
      <c r="I60" s="76">
        <f t="shared" ref="I60" si="515">H60/$B60</f>
        <v>6.5094667736475958E-2</v>
      </c>
      <c r="J60" s="70">
        <v>3250.75</v>
      </c>
      <c r="K60" s="76">
        <f t="shared" ref="K60" si="516">J60/$B60</f>
        <v>6.5094667736475958E-2</v>
      </c>
      <c r="L60" s="70">
        <v>2385.13</v>
      </c>
      <c r="M60" s="76">
        <f t="shared" ref="M60" si="517">L60/$B60</f>
        <v>4.7761053559425025E-2</v>
      </c>
      <c r="N60" s="70">
        <v>3253.54</v>
      </c>
      <c r="O60" s="76">
        <f t="shared" ref="O60" si="518">N60/$B60</f>
        <v>6.5150536112384527E-2</v>
      </c>
      <c r="P60" s="70">
        <v>3253.54</v>
      </c>
      <c r="Q60" s="76">
        <f t="shared" ref="Q60" si="519">P60/$B60</f>
        <v>6.5150536112384527E-2</v>
      </c>
      <c r="R60" s="70">
        <v>3253.54</v>
      </c>
      <c r="S60" s="76">
        <f t="shared" ref="S60" si="520">R60/$B60</f>
        <v>6.5150536112384527E-2</v>
      </c>
      <c r="T60" s="70">
        <v>3253.54</v>
      </c>
      <c r="U60" s="76">
        <f t="shared" ref="U60" si="521">T60/$B60</f>
        <v>6.5150536112384527E-2</v>
      </c>
      <c r="V60" s="70">
        <v>3253.54</v>
      </c>
      <c r="W60" s="76">
        <f t="shared" ref="W60" si="522">V60/$B60</f>
        <v>6.5150536112384527E-2</v>
      </c>
      <c r="X60" s="70">
        <v>3253.54</v>
      </c>
      <c r="Y60" s="76">
        <f t="shared" ref="Y60" si="523">X60/$B60</f>
        <v>6.5150536112384527E-2</v>
      </c>
      <c r="Z60" s="70">
        <v>3882.96</v>
      </c>
      <c r="AA60" s="76">
        <f t="shared" ref="AA60" si="524">Z60/$B60</f>
        <v>7.7754361619326834E-2</v>
      </c>
      <c r="AB60" s="66">
        <f t="shared" si="423"/>
        <v>38792.33</v>
      </c>
      <c r="AC60" s="76">
        <f t="shared" si="11"/>
        <v>0.77679730279896286</v>
      </c>
      <c r="AD60" s="66">
        <f>(T60*1.2)*12</f>
        <v>46850.975999999995</v>
      </c>
    </row>
    <row r="61" spans="1:31" x14ac:dyDescent="0.25">
      <c r="A61" s="46" t="s">
        <v>34</v>
      </c>
      <c r="B61" s="38">
        <v>56738.545800000014</v>
      </c>
      <c r="C61" s="38">
        <f t="shared" si="12"/>
        <v>4728.2121500000012</v>
      </c>
      <c r="D61" s="38">
        <f>SUM(D62)</f>
        <v>4190.96</v>
      </c>
      <c r="E61" s="78">
        <f t="shared" si="0"/>
        <v>7.3864423927481035E-2</v>
      </c>
      <c r="F61" s="38">
        <f>SUM(F62)</f>
        <v>4206.4799999999996</v>
      </c>
      <c r="G61" s="78">
        <f t="shared" si="0"/>
        <v>7.4137959313014298E-2</v>
      </c>
      <c r="H61" s="38">
        <f>SUM(H62)</f>
        <v>2248.62</v>
      </c>
      <c r="I61" s="78">
        <f t="shared" ref="I61" si="525">H61/$B61</f>
        <v>3.9631258931560408E-2</v>
      </c>
      <c r="J61" s="38">
        <f>SUM(J62)</f>
        <v>4479.8</v>
      </c>
      <c r="K61" s="78">
        <f t="shared" ref="K61" si="526">J61/$B61</f>
        <v>7.8955143048449417E-2</v>
      </c>
      <c r="L61" s="38">
        <f>SUM(L62)</f>
        <v>4753.68</v>
      </c>
      <c r="M61" s="78">
        <f t="shared" ref="M61" si="527">L61/$B61</f>
        <v>8.3782196617383148E-2</v>
      </c>
      <c r="N61" s="38">
        <f>SUM(N62)</f>
        <v>4611.66</v>
      </c>
      <c r="O61" s="78">
        <f t="shared" ref="O61" si="528">N61/$B61</f>
        <v>8.1279136343321623E-2</v>
      </c>
      <c r="P61" s="38">
        <f>SUM(P62)</f>
        <v>4611.8599999999997</v>
      </c>
      <c r="Q61" s="78">
        <f t="shared" ref="Q61" si="529">P61/$B61</f>
        <v>8.1282661283856847E-2</v>
      </c>
      <c r="R61" s="38">
        <f>SUM(R62)</f>
        <v>1501.61</v>
      </c>
      <c r="S61" s="78">
        <f t="shared" ref="S61" si="530">R61/$B61</f>
        <v>2.6465429785477505E-2</v>
      </c>
      <c r="T61" s="38">
        <f>SUM(T62)</f>
        <v>4972.54</v>
      </c>
      <c r="U61" s="78">
        <f t="shared" ref="U61" si="531">T61/$B61</f>
        <v>8.7639539045077167E-2</v>
      </c>
      <c r="V61" s="38">
        <f>SUM(V62)</f>
        <v>3222.86</v>
      </c>
      <c r="W61" s="78">
        <f t="shared" ref="W61" si="532">V61/$B61</f>
        <v>5.6801949266736394E-2</v>
      </c>
      <c r="X61" s="38">
        <f>SUM(X62)</f>
        <v>0</v>
      </c>
      <c r="Y61" s="78">
        <f t="shared" ref="Y61" si="533">X61/$B61</f>
        <v>0</v>
      </c>
      <c r="Z61" s="38">
        <f>SUM(Z62)</f>
        <v>3102.18</v>
      </c>
      <c r="AA61" s="78">
        <f t="shared" ref="AA61" si="534">Z61/$B61</f>
        <v>5.4675000147783114E-2</v>
      </c>
      <c r="AB61" s="38">
        <f t="shared" ref="AB61" si="535">SUM(AB62)</f>
        <v>41902.25</v>
      </c>
      <c r="AC61" s="78">
        <f t="shared" si="11"/>
        <v>0.738514697710141</v>
      </c>
      <c r="AD61" s="38">
        <f>SUM(AD62)</f>
        <v>58383.801666666666</v>
      </c>
    </row>
    <row r="62" spans="1:31" x14ac:dyDescent="0.25">
      <c r="A62" s="47" t="s">
        <v>34</v>
      </c>
      <c r="B62" s="66">
        <v>56738.545800000014</v>
      </c>
      <c r="C62" s="66">
        <f t="shared" si="12"/>
        <v>4728.2121500000012</v>
      </c>
      <c r="D62" s="82">
        <v>4190.96</v>
      </c>
      <c r="E62" s="75">
        <f t="shared" si="0"/>
        <v>7.3864423927481035E-2</v>
      </c>
      <c r="F62" s="82">
        <v>4206.4799999999996</v>
      </c>
      <c r="G62" s="76">
        <f t="shared" si="0"/>
        <v>7.4137959313014298E-2</v>
      </c>
      <c r="H62" s="70">
        <v>2248.62</v>
      </c>
      <c r="I62" s="76">
        <f t="shared" ref="I62" si="536">H62/$B62</f>
        <v>3.9631258931560408E-2</v>
      </c>
      <c r="J62" s="70">
        <v>4479.8</v>
      </c>
      <c r="K62" s="76">
        <f t="shared" ref="K62" si="537">J62/$B62</f>
        <v>7.8955143048449417E-2</v>
      </c>
      <c r="L62" s="70">
        <v>4753.68</v>
      </c>
      <c r="M62" s="76">
        <f t="shared" ref="M62" si="538">L62/$B62</f>
        <v>8.3782196617383148E-2</v>
      </c>
      <c r="N62" s="70">
        <v>4611.66</v>
      </c>
      <c r="O62" s="76">
        <f t="shared" ref="O62" si="539">N62/$B62</f>
        <v>8.1279136343321623E-2</v>
      </c>
      <c r="P62" s="70">
        <v>4611.8599999999997</v>
      </c>
      <c r="Q62" s="76">
        <f t="shared" ref="Q62" si="540">P62/$B62</f>
        <v>8.1282661283856847E-2</v>
      </c>
      <c r="R62" s="70">
        <v>1501.61</v>
      </c>
      <c r="S62" s="76">
        <f t="shared" ref="S62" si="541">R62/$B62</f>
        <v>2.6465429785477505E-2</v>
      </c>
      <c r="T62" s="70">
        <v>4972.54</v>
      </c>
      <c r="U62" s="76">
        <f t="shared" ref="U62" si="542">T62/$B62</f>
        <v>8.7639539045077167E-2</v>
      </c>
      <c r="V62" s="70">
        <v>3222.86</v>
      </c>
      <c r="W62" s="76">
        <f t="shared" ref="W62" si="543">V62/$B62</f>
        <v>5.6801949266736394E-2</v>
      </c>
      <c r="X62" s="70"/>
      <c r="Y62" s="76">
        <f t="shared" ref="Y62" si="544">X62/$B62</f>
        <v>0</v>
      </c>
      <c r="Z62" s="70">
        <v>3102.18</v>
      </c>
      <c r="AA62" s="76">
        <f t="shared" ref="AA62" si="545">Z62/$B62</f>
        <v>5.4675000147783114E-2</v>
      </c>
      <c r="AB62" s="66">
        <f>D62+F62+H62+J62+L62+N62+P62+R62+T62+V62+X62+Z62</f>
        <v>41902.25</v>
      </c>
      <c r="AC62" s="76">
        <f t="shared" si="11"/>
        <v>0.738514697710141</v>
      </c>
      <c r="AD62" s="66">
        <f t="shared" ref="AD62:AD84" si="546">((AB62/9)*$AE$3)*12</f>
        <v>58383.801666666666</v>
      </c>
    </row>
    <row r="63" spans="1:31" x14ac:dyDescent="0.25">
      <c r="A63" s="46" t="s">
        <v>35</v>
      </c>
      <c r="B63" s="38">
        <v>209723.05109999998</v>
      </c>
      <c r="C63" s="38">
        <f t="shared" si="12"/>
        <v>17476.920924999999</v>
      </c>
      <c r="D63" s="38">
        <f>SUM(D64:D70)</f>
        <v>21831.09</v>
      </c>
      <c r="E63" s="78">
        <f t="shared" si="0"/>
        <v>0.10409485216572839</v>
      </c>
      <c r="F63" s="38">
        <f>SUM(F64:F70)</f>
        <v>18375.290000000005</v>
      </c>
      <c r="G63" s="78">
        <f t="shared" si="0"/>
        <v>8.7616930535872828E-2</v>
      </c>
      <c r="H63" s="38">
        <f>SUM(H64:H70)</f>
        <v>18172.219999999998</v>
      </c>
      <c r="I63" s="78">
        <f t="shared" ref="I63" si="547">H63/$B63</f>
        <v>8.6648653568057871E-2</v>
      </c>
      <c r="J63" s="38">
        <f>SUM(J64:J70)</f>
        <v>16362.010000000002</v>
      </c>
      <c r="K63" s="78">
        <f t="shared" ref="K63" si="548">J63/$B63</f>
        <v>7.8017222781096587E-2</v>
      </c>
      <c r="L63" s="38">
        <f>SUM(L64:L70)</f>
        <v>15777.34</v>
      </c>
      <c r="M63" s="78">
        <f t="shared" ref="M63" si="549">L63/$B63</f>
        <v>7.5229403335721368E-2</v>
      </c>
      <c r="N63" s="38">
        <f>SUM(N64:N70)</f>
        <v>16761.91</v>
      </c>
      <c r="O63" s="78">
        <f t="shared" ref="O63" si="550">N63/$B63</f>
        <v>7.9924023191936103E-2</v>
      </c>
      <c r="P63" s="38">
        <f>SUM(P64:P70)</f>
        <v>17440.41</v>
      </c>
      <c r="Q63" s="78">
        <f t="shared" ref="Q63" si="551">P63/$B63</f>
        <v>8.3159242193573069E-2</v>
      </c>
      <c r="R63" s="38">
        <f>SUM(R64:R70)</f>
        <v>16231.789999999999</v>
      </c>
      <c r="S63" s="78">
        <f t="shared" ref="S63" si="552">R63/$B63</f>
        <v>7.739630867882219E-2</v>
      </c>
      <c r="T63" s="38">
        <f>SUM(T64:T70)</f>
        <v>19393.620000000003</v>
      </c>
      <c r="U63" s="78">
        <f t="shared" ref="U63" si="553">T63/$B63</f>
        <v>9.2472524590311966E-2</v>
      </c>
      <c r="V63" s="38">
        <f>SUM(V64:V70)</f>
        <v>11479.559999999998</v>
      </c>
      <c r="W63" s="78">
        <f t="shared" ref="W63" si="554">V63/$B63</f>
        <v>5.4736758500267685E-2</v>
      </c>
      <c r="X63" s="38">
        <f>SUM(X64:X70)</f>
        <v>16161.31</v>
      </c>
      <c r="Y63" s="78">
        <f t="shared" ref="Y63" si="555">X63/$B63</f>
        <v>7.7060246430870283E-2</v>
      </c>
      <c r="Z63" s="38">
        <f>SUM(Z64:Z70)</f>
        <v>25187.500000000004</v>
      </c>
      <c r="AA63" s="78">
        <f t="shared" ref="AA63" si="556">Z63/$B63</f>
        <v>0.12009886308582321</v>
      </c>
      <c r="AB63" s="38">
        <f t="shared" ref="AB63" si="557">SUM(AB64:AB70)</f>
        <v>213174.05000000002</v>
      </c>
      <c r="AC63" s="78">
        <f t="shared" si="11"/>
        <v>1.0164550290580816</v>
      </c>
      <c r="AD63" s="38">
        <f>SUM(AD64:AD70)</f>
        <v>297022.50966666662</v>
      </c>
    </row>
    <row r="64" spans="1:31" x14ac:dyDescent="0.25">
      <c r="A64" s="47" t="s">
        <v>36</v>
      </c>
      <c r="B64" s="66">
        <v>100877.08889999999</v>
      </c>
      <c r="C64" s="66">
        <f t="shared" si="12"/>
        <v>8406.424074999999</v>
      </c>
      <c r="D64" s="82">
        <v>8119.56</v>
      </c>
      <c r="E64" s="75">
        <f t="shared" si="0"/>
        <v>8.048963435145283E-2</v>
      </c>
      <c r="F64" s="82">
        <v>8660.89</v>
      </c>
      <c r="G64" s="76">
        <f t="shared" si="0"/>
        <v>8.5855867714279374E-2</v>
      </c>
      <c r="H64" s="70">
        <v>8119.56</v>
      </c>
      <c r="I64" s="76">
        <f t="shared" ref="I64" si="558">H64/$B64</f>
        <v>8.048963435145283E-2</v>
      </c>
      <c r="J64" s="70">
        <v>8119.56</v>
      </c>
      <c r="K64" s="76">
        <f t="shared" ref="K64" si="559">J64/$B64</f>
        <v>8.048963435145283E-2</v>
      </c>
      <c r="L64" s="70">
        <v>8607.25</v>
      </c>
      <c r="M64" s="76">
        <f t="shared" ref="M64" si="560">L64/$B64</f>
        <v>8.5324131513473928E-2</v>
      </c>
      <c r="N64" s="70">
        <v>8743.48</v>
      </c>
      <c r="O64" s="76">
        <f t="shared" ref="O64" si="561">N64/$B64</f>
        <v>8.6674586819881952E-2</v>
      </c>
      <c r="P64" s="70">
        <v>9134.31</v>
      </c>
      <c r="Q64" s="76">
        <f t="shared" ref="Q64" si="562">P64/$B64</f>
        <v>9.0548905599911703E-2</v>
      </c>
      <c r="R64" s="70">
        <v>8983.06</v>
      </c>
      <c r="S64" s="76">
        <f t="shared" ref="S64" si="563">R64/$B64</f>
        <v>8.9049556226835178E-2</v>
      </c>
      <c r="T64" s="70">
        <v>8682.49</v>
      </c>
      <c r="U64" s="76">
        <f t="shared" ref="U64" si="564">T64/$B64</f>
        <v>8.6069989674335268E-2</v>
      </c>
      <c r="V64" s="70"/>
      <c r="W64" s="76">
        <f t="shared" ref="W64" si="565">V64/$B64</f>
        <v>0</v>
      </c>
      <c r="X64" s="70">
        <v>8983</v>
      </c>
      <c r="Y64" s="76">
        <f t="shared" ref="Y64" si="566">X64/$B64</f>
        <v>8.9048961443612809E-2</v>
      </c>
      <c r="Z64" s="70">
        <v>17599.22</v>
      </c>
      <c r="AA64" s="76">
        <f t="shared" ref="AA64" si="567">Z64/$B64</f>
        <v>0.17446201304883219</v>
      </c>
      <c r="AB64" s="66">
        <f t="shared" ref="AB64:AB70" si="568">D64+F64+H64+J64+L64+N64+P64+R64+T64+V64+X64+Z64</f>
        <v>103752.38</v>
      </c>
      <c r="AC64" s="76">
        <f t="shared" si="11"/>
        <v>1.0285029150955209</v>
      </c>
      <c r="AD64" s="66">
        <f t="shared" si="546"/>
        <v>144561.64946666665</v>
      </c>
    </row>
    <row r="65" spans="1:30" x14ac:dyDescent="0.25">
      <c r="A65" s="64" t="s">
        <v>37</v>
      </c>
      <c r="B65" s="66">
        <v>15592.1283</v>
      </c>
      <c r="C65" s="66">
        <f t="shared" si="12"/>
        <v>1299.3440250000001</v>
      </c>
      <c r="D65" s="82">
        <v>3097.44</v>
      </c>
      <c r="E65" s="75">
        <f t="shared" si="0"/>
        <v>0.19865408624170955</v>
      </c>
      <c r="F65" s="82">
        <v>2817.9</v>
      </c>
      <c r="G65" s="75">
        <f t="shared" si="0"/>
        <v>0.18072580893270357</v>
      </c>
      <c r="H65" s="70">
        <v>3271.58</v>
      </c>
      <c r="I65" s="75">
        <f t="shared" ref="I65" si="569">H65/$B65</f>
        <v>0.20982254231450878</v>
      </c>
      <c r="J65" s="70">
        <v>3259.04</v>
      </c>
      <c r="K65" s="75">
        <f t="shared" ref="K65" si="570">J65/$B65</f>
        <v>0.20901829033820868</v>
      </c>
      <c r="L65" s="70">
        <v>2308.38</v>
      </c>
      <c r="M65" s="75">
        <f t="shared" ref="M65" si="571">L65/$B65</f>
        <v>0.14804778126408824</v>
      </c>
      <c r="N65" s="70">
        <v>2515.14</v>
      </c>
      <c r="O65" s="75">
        <f t="shared" ref="O65" si="572">N65/$B65</f>
        <v>0.1613083186340892</v>
      </c>
      <c r="P65" s="70">
        <v>2898.47</v>
      </c>
      <c r="Q65" s="75">
        <f t="shared" ref="Q65" si="573">P65/$B65</f>
        <v>0.18589315994789499</v>
      </c>
      <c r="R65" s="70">
        <v>2565.66</v>
      </c>
      <c r="S65" s="75">
        <f t="shared" ref="S65" si="574">R65/$B65</f>
        <v>0.16454841511277199</v>
      </c>
      <c r="T65" s="70">
        <v>3705.04</v>
      </c>
      <c r="U65" s="75">
        <f t="shared" ref="U65" si="575">T65/$B65</f>
        <v>0.23762246748572483</v>
      </c>
      <c r="V65" s="70">
        <v>3626.92</v>
      </c>
      <c r="W65" s="75">
        <f t="shared" ref="W65" si="576">V65/$B65</f>
        <v>0.23261224704006572</v>
      </c>
      <c r="X65" s="70">
        <v>2383.1</v>
      </c>
      <c r="Y65" s="75">
        <f t="shared" ref="Y65" si="577">X65/$B65</f>
        <v>0.15283994296019229</v>
      </c>
      <c r="Z65" s="70">
        <v>1200.1500000000001</v>
      </c>
      <c r="AA65" s="75">
        <f t="shared" ref="AA65" si="578">Z65/$B65</f>
        <v>7.6971531846617758E-2</v>
      </c>
      <c r="AB65" s="66">
        <f t="shared" si="568"/>
        <v>33648.82</v>
      </c>
      <c r="AC65" s="75">
        <f t="shared" si="11"/>
        <v>2.1580645921185755</v>
      </c>
      <c r="AD65" s="66">
        <f t="shared" si="546"/>
        <v>46884.022533333336</v>
      </c>
    </row>
    <row r="66" spans="1:30" x14ac:dyDescent="0.25">
      <c r="A66" s="47" t="s">
        <v>38</v>
      </c>
      <c r="B66" s="66">
        <v>29630.842500000002</v>
      </c>
      <c r="C66" s="66">
        <f t="shared" si="12"/>
        <v>2469.2368750000001</v>
      </c>
      <c r="D66" s="82">
        <v>6646.87</v>
      </c>
      <c r="E66" s="75">
        <f t="shared" si="0"/>
        <v>0.22432267999129621</v>
      </c>
      <c r="F66" s="82">
        <v>2697.3</v>
      </c>
      <c r="G66" s="76">
        <f t="shared" si="0"/>
        <v>9.1030148737755265E-2</v>
      </c>
      <c r="H66" s="70">
        <v>2089.09</v>
      </c>
      <c r="I66" s="76">
        <f t="shared" ref="I66" si="579">H66/$B66</f>
        <v>7.0503901466858393E-2</v>
      </c>
      <c r="J66" s="70">
        <v>1968.71</v>
      </c>
      <c r="K66" s="76">
        <f t="shared" ref="K66" si="580">J66/$B66</f>
        <v>6.644124276925302E-2</v>
      </c>
      <c r="L66" s="70">
        <v>2732.56</v>
      </c>
      <c r="M66" s="76">
        <f t="shared" ref="M66" si="581">L66/$B66</f>
        <v>9.2220125026819602E-2</v>
      </c>
      <c r="N66" s="70">
        <v>2344.71</v>
      </c>
      <c r="O66" s="76">
        <f t="shared" ref="O66" si="582">N66/$B66</f>
        <v>7.9130723333297043E-2</v>
      </c>
      <c r="P66" s="70">
        <v>2616.2600000000002</v>
      </c>
      <c r="Q66" s="76">
        <f t="shared" ref="Q66" si="583">P66/$B66</f>
        <v>8.829516069278151E-2</v>
      </c>
      <c r="R66" s="70">
        <v>1449.29</v>
      </c>
      <c r="S66" s="76">
        <f t="shared" ref="S66" si="584">R66/$B66</f>
        <v>4.891153533687069E-2</v>
      </c>
      <c r="T66" s="70">
        <v>1711.52</v>
      </c>
      <c r="U66" s="76">
        <f t="shared" ref="U66" si="585">T66/$B66</f>
        <v>5.7761435571735763E-2</v>
      </c>
      <c r="V66" s="70">
        <v>3115.57</v>
      </c>
      <c r="W66" s="76">
        <f t="shared" ref="W66" si="586">V66/$B66</f>
        <v>0.10514618340669861</v>
      </c>
      <c r="X66" s="70">
        <v>1404.06</v>
      </c>
      <c r="Y66" s="76">
        <f t="shared" ref="Y66" si="587">X66/$B66</f>
        <v>4.7385085321148053E-2</v>
      </c>
      <c r="Z66" s="70">
        <v>2305.94</v>
      </c>
      <c r="AA66" s="76">
        <f t="shared" ref="AA66" si="588">Z66/$B66</f>
        <v>7.782228939322261E-2</v>
      </c>
      <c r="AB66" s="66">
        <f t="shared" si="568"/>
        <v>31081.88</v>
      </c>
      <c r="AC66" s="76">
        <f t="shared" si="11"/>
        <v>1.0489705110477368</v>
      </c>
      <c r="AD66" s="66">
        <f t="shared" si="546"/>
        <v>43307.419466666659</v>
      </c>
    </row>
    <row r="67" spans="1:30" x14ac:dyDescent="0.25">
      <c r="A67" s="47" t="s">
        <v>39</v>
      </c>
      <c r="B67" s="66">
        <v>8299.7999999999993</v>
      </c>
      <c r="C67" s="66">
        <f t="shared" si="12"/>
        <v>691.65</v>
      </c>
      <c r="D67" s="82">
        <f>515.27+359.63+43.2+179.6</f>
        <v>1097.7</v>
      </c>
      <c r="E67" s="75">
        <f t="shared" si="0"/>
        <v>0.1322561989445529</v>
      </c>
      <c r="F67" s="82">
        <f>152.96+620.24</f>
        <v>773.2</v>
      </c>
      <c r="G67" s="76">
        <f t="shared" si="0"/>
        <v>9.3158871298103588E-2</v>
      </c>
      <c r="H67" s="70">
        <f>638.77</f>
        <v>638.77</v>
      </c>
      <c r="I67" s="76">
        <f t="shared" ref="I67" si="589">H67/$B67</f>
        <v>7.6962095472180053E-2</v>
      </c>
      <c r="J67" s="70">
        <v>659.07</v>
      </c>
      <c r="K67" s="76">
        <f t="shared" ref="K67" si="590">J67/$B67</f>
        <v>7.9407937540663637E-2</v>
      </c>
      <c r="L67" s="70">
        <v>628.59</v>
      </c>
      <c r="M67" s="76">
        <f t="shared" ref="M67" si="591">L67/$B67</f>
        <v>7.573555989300948E-2</v>
      </c>
      <c r="N67" s="70">
        <f>610.5+43.2</f>
        <v>653.70000000000005</v>
      </c>
      <c r="O67" s="76">
        <f t="shared" ref="O67" si="592">N67/$B67</f>
        <v>7.876093399840961E-2</v>
      </c>
      <c r="P67" s="70">
        <f>619.94</f>
        <v>619.94000000000005</v>
      </c>
      <c r="Q67" s="76">
        <f t="shared" ref="Q67" si="593">P67/$B67</f>
        <v>7.4693366105207368E-2</v>
      </c>
      <c r="R67" s="70">
        <v>836.41</v>
      </c>
      <c r="S67" s="76">
        <f t="shared" ref="S67" si="594">R67/$B67</f>
        <v>0.1007747174630714</v>
      </c>
      <c r="T67" s="70">
        <f>655.4-174.24</f>
        <v>481.15999999999997</v>
      </c>
      <c r="U67" s="76">
        <f t="shared" ref="U67" si="595">T67/$B67</f>
        <v>5.7972481264608786E-2</v>
      </c>
      <c r="V67" s="70">
        <f>655.4+116.46</f>
        <v>771.86</v>
      </c>
      <c r="W67" s="76">
        <f t="shared" ref="W67" si="596">V67/$B67</f>
        <v>9.2997421624617466E-2</v>
      </c>
      <c r="X67" s="70">
        <v>658.97</v>
      </c>
      <c r="Y67" s="76">
        <f t="shared" ref="Y67" si="597">X67/$B67</f>
        <v>7.9395889057567656E-2</v>
      </c>
      <c r="Z67" s="70">
        <v>665.22</v>
      </c>
      <c r="AA67" s="76">
        <f t="shared" ref="AA67" si="598">Z67/$B67</f>
        <v>8.0148919251066306E-2</v>
      </c>
      <c r="AB67" s="66">
        <f t="shared" si="568"/>
        <v>8484.59</v>
      </c>
      <c r="AC67" s="76">
        <f t="shared" si="11"/>
        <v>1.0222643919130583</v>
      </c>
      <c r="AD67" s="66">
        <f t="shared" si="546"/>
        <v>11821.862066666667</v>
      </c>
    </row>
    <row r="68" spans="1:30" x14ac:dyDescent="0.25">
      <c r="A68" s="47" t="s">
        <v>40</v>
      </c>
      <c r="B68" s="66">
        <v>7787.8836000000001</v>
      </c>
      <c r="C68" s="66">
        <f t="shared" si="12"/>
        <v>648.99030000000005</v>
      </c>
      <c r="D68" s="82">
        <v>402.8</v>
      </c>
      <c r="E68" s="75">
        <f t="shared" ref="E68:G128" si="599">D68/$B68</f>
        <v>5.1721368819636696E-2</v>
      </c>
      <c r="F68" s="82">
        <f>1682.09-99</f>
        <v>1583.09</v>
      </c>
      <c r="G68" s="76">
        <f t="shared" si="599"/>
        <v>0.2032760222559053</v>
      </c>
      <c r="H68" s="70">
        <v>1652.66</v>
      </c>
      <c r="I68" s="76">
        <f t="shared" ref="I68" si="600">H68/$B68</f>
        <v>0.21220912957661567</v>
      </c>
      <c r="J68" s="70">
        <v>83.92</v>
      </c>
      <c r="K68" s="76">
        <f t="shared" ref="K68" si="601">J68/$B68</f>
        <v>1.0775713186057377E-2</v>
      </c>
      <c r="L68" s="70">
        <v>84.91</v>
      </c>
      <c r="M68" s="76">
        <f t="shared" ref="M68" si="602">L68/$B68</f>
        <v>1.0902833730077834E-2</v>
      </c>
      <c r="N68" s="70">
        <f>996.35-41.9</f>
        <v>954.45</v>
      </c>
      <c r="O68" s="76">
        <f t="shared" ref="O68" si="603">N68/$B68</f>
        <v>0.12255576084881392</v>
      </c>
      <c r="P68" s="70"/>
      <c r="Q68" s="76">
        <f t="shared" ref="Q68" si="604">P68/$B68</f>
        <v>0</v>
      </c>
      <c r="R68" s="70">
        <v>595.62</v>
      </c>
      <c r="S68" s="76">
        <f t="shared" ref="S68" si="605">R68/$B68</f>
        <v>7.6480341847944416E-2</v>
      </c>
      <c r="T68" s="70">
        <v>2107.83</v>
      </c>
      <c r="U68" s="76">
        <f t="shared" ref="U68" si="606">T68/$B68</f>
        <v>0.27065504677034463</v>
      </c>
      <c r="V68" s="70">
        <f>1901.86-230.44</f>
        <v>1671.4199999999998</v>
      </c>
      <c r="W68" s="76">
        <f t="shared" ref="W68" si="607">V68/$B68</f>
        <v>0.21461799968350834</v>
      </c>
      <c r="X68" s="70">
        <v>487.09</v>
      </c>
      <c r="Y68" s="76">
        <f t="shared" ref="Y68" si="608">X68/$B68</f>
        <v>6.2544591703964342E-2</v>
      </c>
      <c r="Z68" s="70">
        <v>1431.06</v>
      </c>
      <c r="AA68" s="76">
        <f t="shared" ref="AA68" si="609">Z68/$B68</f>
        <v>0.18375467245042029</v>
      </c>
      <c r="AB68" s="66">
        <f t="shared" si="568"/>
        <v>11054.849999999999</v>
      </c>
      <c r="AC68" s="76">
        <f t="shared" si="11"/>
        <v>1.4194934808732886</v>
      </c>
      <c r="AD68" s="66">
        <f t="shared" si="546"/>
        <v>15403.090999999999</v>
      </c>
    </row>
    <row r="69" spans="1:30" x14ac:dyDescent="0.25">
      <c r="A69" s="47" t="s">
        <v>41</v>
      </c>
      <c r="B69" s="66">
        <v>45591.850800000007</v>
      </c>
      <c r="C69" s="66">
        <f t="shared" si="12"/>
        <v>3799.3209000000006</v>
      </c>
      <c r="D69" s="82">
        <f>2443.17</f>
        <v>2443.17</v>
      </c>
      <c r="E69" s="75">
        <f t="shared" si="599"/>
        <v>5.3587866189455061E-2</v>
      </c>
      <c r="F69" s="82">
        <f>984.3+687.12</f>
        <v>1671.42</v>
      </c>
      <c r="G69" s="76">
        <f t="shared" si="599"/>
        <v>3.6660498985489745E-2</v>
      </c>
      <c r="H69" s="70">
        <v>2263.33</v>
      </c>
      <c r="I69" s="76">
        <f t="shared" ref="I69" si="610">H69/$B69</f>
        <v>4.9643301605119296E-2</v>
      </c>
      <c r="J69" s="70">
        <v>2271.71</v>
      </c>
      <c r="K69" s="76">
        <f t="shared" ref="K69" si="611">J69/$B69</f>
        <v>4.9827106382792419E-2</v>
      </c>
      <c r="L69" s="70">
        <v>1415.65</v>
      </c>
      <c r="M69" s="76">
        <f t="shared" ref="M69" si="612">L69/$B69</f>
        <v>3.1050505192476194E-2</v>
      </c>
      <c r="N69" s="70">
        <v>1550.43</v>
      </c>
      <c r="O69" s="76">
        <f t="shared" ref="O69" si="613">N69/$B69</f>
        <v>3.4006735256292775E-2</v>
      </c>
      <c r="P69" s="70">
        <v>2171.4299999999998</v>
      </c>
      <c r="Q69" s="76">
        <f t="shared" ref="Q69" si="614">P69/$B69</f>
        <v>4.7627590499133662E-2</v>
      </c>
      <c r="R69" s="70">
        <v>1801.75</v>
      </c>
      <c r="S69" s="76">
        <f t="shared" ref="S69" si="615">R69/$B69</f>
        <v>3.9519123886938137E-2</v>
      </c>
      <c r="T69" s="70">
        <v>2705.58</v>
      </c>
      <c r="U69" s="76">
        <f t="shared" ref="U69" si="616">T69/$B69</f>
        <v>5.934350004496855E-2</v>
      </c>
      <c r="V69" s="70">
        <f>2293.79</f>
        <v>2293.79</v>
      </c>
      <c r="W69" s="76">
        <f t="shared" ref="W69" si="617">V69/$B69</f>
        <v>5.0311403458093429E-2</v>
      </c>
      <c r="X69" s="70">
        <v>2245.09</v>
      </c>
      <c r="Y69" s="76">
        <f t="shared" ref="Y69" si="618">X69/$B69</f>
        <v>4.924323010813151E-2</v>
      </c>
      <c r="Z69" s="70">
        <f>1938.41+47.5</f>
        <v>1985.91</v>
      </c>
      <c r="AA69" s="76">
        <f t="shared" ref="AA69" si="619">Z69/$B69</f>
        <v>4.3558442246876272E-2</v>
      </c>
      <c r="AB69" s="66">
        <f t="shared" si="568"/>
        <v>24819.260000000002</v>
      </c>
      <c r="AC69" s="76">
        <f t="shared" ref="AC69:AC129" si="620">AB69/$B69</f>
        <v>0.54437930385576705</v>
      </c>
      <c r="AD69" s="66">
        <f t="shared" si="546"/>
        <v>34581.50226666667</v>
      </c>
    </row>
    <row r="70" spans="1:30" x14ac:dyDescent="0.25">
      <c r="A70" s="47" t="s">
        <v>42</v>
      </c>
      <c r="B70" s="66">
        <v>1943.4569999999999</v>
      </c>
      <c r="C70" s="66">
        <f t="shared" si="12"/>
        <v>161.95474999999999</v>
      </c>
      <c r="D70" s="82">
        <v>23.55</v>
      </c>
      <c r="E70" s="75">
        <f t="shared" si="599"/>
        <v>1.211758222589952E-2</v>
      </c>
      <c r="F70" s="82">
        <v>171.49</v>
      </c>
      <c r="G70" s="76">
        <f t="shared" si="599"/>
        <v>8.8239667767282745E-2</v>
      </c>
      <c r="H70" s="70">
        <v>137.22999999999999</v>
      </c>
      <c r="I70" s="76">
        <f t="shared" ref="I70" si="621">H70/$B70</f>
        <v>7.0611287000432732E-2</v>
      </c>
      <c r="J70" s="70"/>
      <c r="K70" s="76">
        <f t="shared" ref="K70" si="622">J70/$B70</f>
        <v>0</v>
      </c>
      <c r="L70" s="70"/>
      <c r="M70" s="76">
        <f t="shared" ref="M70" si="623">L70/$B70</f>
        <v>0</v>
      </c>
      <c r="N70" s="70"/>
      <c r="O70" s="76">
        <f t="shared" ref="O70" si="624">N70/$B70</f>
        <v>0</v>
      </c>
      <c r="P70" s="70"/>
      <c r="Q70" s="76">
        <f t="shared" ref="Q70" si="625">P70/$B70</f>
        <v>0</v>
      </c>
      <c r="R70" s="70"/>
      <c r="S70" s="76">
        <f t="shared" ref="S70" si="626">R70/$B70</f>
        <v>0</v>
      </c>
      <c r="T70" s="70"/>
      <c r="U70" s="76">
        <f t="shared" ref="U70" si="627">T70/$B70</f>
        <v>0</v>
      </c>
      <c r="V70" s="70"/>
      <c r="W70" s="76">
        <f t="shared" ref="W70" si="628">V70/$B70</f>
        <v>0</v>
      </c>
      <c r="X70" s="70"/>
      <c r="Y70" s="76">
        <f t="shared" ref="Y70" si="629">X70/$B70</f>
        <v>0</v>
      </c>
      <c r="Z70" s="70"/>
      <c r="AA70" s="76">
        <f t="shared" ref="AA70" si="630">Z70/$B70</f>
        <v>0</v>
      </c>
      <c r="AB70" s="66">
        <f t="shared" si="568"/>
        <v>332.27</v>
      </c>
      <c r="AC70" s="76">
        <f t="shared" si="620"/>
        <v>0.170968536993615</v>
      </c>
      <c r="AD70" s="66">
        <f t="shared" si="546"/>
        <v>462.96286666666663</v>
      </c>
    </row>
    <row r="71" spans="1:30" x14ac:dyDescent="0.25">
      <c r="A71" s="46" t="s">
        <v>43</v>
      </c>
      <c r="B71" s="38">
        <v>927804.3567</v>
      </c>
      <c r="C71" s="38">
        <f t="shared" ref="C71:C131" si="631">B71/12</f>
        <v>77317.029725</v>
      </c>
      <c r="D71" s="38">
        <f>SUM(D72:D77)</f>
        <v>65464.33</v>
      </c>
      <c r="E71" s="78">
        <f t="shared" si="599"/>
        <v>7.0558334337685699E-2</v>
      </c>
      <c r="F71" s="38">
        <f>SUM(F72:F77)</f>
        <v>73843.289999999994</v>
      </c>
      <c r="G71" s="78">
        <f t="shared" si="599"/>
        <v>7.9589289990666404E-2</v>
      </c>
      <c r="H71" s="38">
        <f>SUM(H72:H77)</f>
        <v>78892.23</v>
      </c>
      <c r="I71" s="78">
        <f t="shared" ref="I71" si="632">H71/$B71</f>
        <v>8.5031105351350847E-2</v>
      </c>
      <c r="J71" s="38">
        <f>SUM(J72:J77)</f>
        <v>64745.110000000008</v>
      </c>
      <c r="K71" s="78">
        <f t="shared" ref="K71" si="633">J71/$B71</f>
        <v>6.97831493595098E-2</v>
      </c>
      <c r="L71" s="38">
        <f>SUM(L72:L77)</f>
        <v>66268.47</v>
      </c>
      <c r="M71" s="78">
        <f t="shared" ref="M71" si="634">L71/$B71</f>
        <v>7.1425047232697478E-2</v>
      </c>
      <c r="N71" s="38">
        <f>SUM(N72:N77)</f>
        <v>72586.28</v>
      </c>
      <c r="O71" s="78">
        <f t="shared" ref="O71" si="635">N71/$B71</f>
        <v>7.8234467725689219E-2</v>
      </c>
      <c r="P71" s="38">
        <f>SUM(P72:P77)</f>
        <v>66815.799999999988</v>
      </c>
      <c r="Q71" s="78">
        <f t="shared" ref="Q71" si="636">P71/$B71</f>
        <v>7.2014966859661425E-2</v>
      </c>
      <c r="R71" s="38">
        <f>SUM(R72:R77)</f>
        <v>68390.87</v>
      </c>
      <c r="S71" s="78">
        <f t="shared" ref="S71" si="637">R71/$B71</f>
        <v>7.3712598465533796E-2</v>
      </c>
      <c r="T71" s="38">
        <f>SUM(T72:T77)</f>
        <v>73551.840000000011</v>
      </c>
      <c r="U71" s="78">
        <f t="shared" ref="U71" si="638">T71/$B71</f>
        <v>7.9275161265256439E-2</v>
      </c>
      <c r="V71" s="38">
        <f>SUM(V72:V77)</f>
        <v>74308.239999999991</v>
      </c>
      <c r="W71" s="78">
        <f t="shared" ref="W71" si="639">V71/$B71</f>
        <v>8.0090419346917463E-2</v>
      </c>
      <c r="X71" s="38">
        <f>SUM(X72:X77)</f>
        <v>80434.649999999994</v>
      </c>
      <c r="Y71" s="78">
        <f t="shared" ref="Y71" si="640">X71/$B71</f>
        <v>8.6693546348595191E-2</v>
      </c>
      <c r="Z71" s="38">
        <f>SUM(Z72:Z77)</f>
        <v>84710.180000000022</v>
      </c>
      <c r="AA71" s="78">
        <f t="shared" ref="AA71" si="641">Z71/$B71</f>
        <v>9.1301770021102152E-2</v>
      </c>
      <c r="AB71" s="38">
        <f t="shared" ref="AB71" si="642">SUM(AB72:AB77)</f>
        <v>870011.28999999992</v>
      </c>
      <c r="AC71" s="78">
        <f t="shared" si="620"/>
        <v>0.93770985630466586</v>
      </c>
      <c r="AD71" s="38">
        <f>SUM(AD72:AD77)</f>
        <v>1222215.7307333332</v>
      </c>
    </row>
    <row r="72" spans="1:30" x14ac:dyDescent="0.25">
      <c r="A72" s="47" t="s">
        <v>44</v>
      </c>
      <c r="B72" s="66">
        <v>73903.915499999988</v>
      </c>
      <c r="C72" s="66">
        <f t="shared" si="631"/>
        <v>6158.6596249999993</v>
      </c>
      <c r="D72" s="82">
        <v>5480</v>
      </c>
      <c r="E72" s="75">
        <f t="shared" si="599"/>
        <v>7.415033375329079E-2</v>
      </c>
      <c r="F72" s="82">
        <v>5480</v>
      </c>
      <c r="G72" s="76">
        <f t="shared" si="599"/>
        <v>7.415033375329079E-2</v>
      </c>
      <c r="H72" s="70">
        <v>6186</v>
      </c>
      <c r="I72" s="76">
        <f t="shared" ref="I72" si="643">H72/$B72</f>
        <v>8.3703278211287743E-2</v>
      </c>
      <c r="J72" s="70">
        <v>5480</v>
      </c>
      <c r="K72" s="76">
        <f t="shared" ref="K72" si="644">J72/$B72</f>
        <v>7.415033375329079E-2</v>
      </c>
      <c r="L72" s="70">
        <v>5480</v>
      </c>
      <c r="M72" s="76">
        <f t="shared" ref="M72" si="645">L72/$B72</f>
        <v>7.415033375329079E-2</v>
      </c>
      <c r="N72" s="70">
        <v>5682.1</v>
      </c>
      <c r="O72" s="76">
        <f t="shared" ref="O72" si="646">N72/$B72</f>
        <v>7.688496558751344E-2</v>
      </c>
      <c r="P72" s="70">
        <v>5682.1</v>
      </c>
      <c r="Q72" s="76">
        <f t="shared" ref="Q72" si="647">P72/$B72</f>
        <v>7.688496558751344E-2</v>
      </c>
      <c r="R72" s="70">
        <v>5682.1</v>
      </c>
      <c r="S72" s="76">
        <f t="shared" ref="S72" si="648">R72/$B72</f>
        <v>7.688496558751344E-2</v>
      </c>
      <c r="T72" s="70">
        <v>5682.1</v>
      </c>
      <c r="U72" s="76">
        <f t="shared" ref="U72" si="649">T72/$B72</f>
        <v>7.688496558751344E-2</v>
      </c>
      <c r="V72" s="70">
        <v>5682.1</v>
      </c>
      <c r="W72" s="76">
        <f t="shared" ref="W72" si="650">V72/$B72</f>
        <v>7.688496558751344E-2</v>
      </c>
      <c r="X72" s="70">
        <v>8523.15</v>
      </c>
      <c r="Y72" s="76">
        <f t="shared" ref="Y72" si="651">X72/$B72</f>
        <v>0.11532744838127015</v>
      </c>
      <c r="Z72" s="70">
        <v>8523.15</v>
      </c>
      <c r="AA72" s="76">
        <f t="shared" ref="AA72" si="652">Z72/$B72</f>
        <v>0.11532744838127015</v>
      </c>
      <c r="AB72" s="66">
        <f t="shared" ref="AB72:AB77" si="653">D72+F72+H72+J72+L72+N72+P72+R72+T72+V72+X72+Z72</f>
        <v>73562.799999999988</v>
      </c>
      <c r="AC72" s="76">
        <f t="shared" si="620"/>
        <v>0.99538433792455827</v>
      </c>
      <c r="AD72" s="66">
        <f t="shared" si="546"/>
        <v>102497.50133333332</v>
      </c>
    </row>
    <row r="73" spans="1:30" x14ac:dyDescent="0.25">
      <c r="A73" s="47" t="s">
        <v>45</v>
      </c>
      <c r="B73" s="66">
        <v>15000</v>
      </c>
      <c r="C73" s="66">
        <f t="shared" si="631"/>
        <v>1250</v>
      </c>
      <c r="D73" s="82">
        <f>310.34+32.93</f>
        <v>343.27</v>
      </c>
      <c r="E73" s="75">
        <f t="shared" si="599"/>
        <v>2.2884666666666664E-2</v>
      </c>
      <c r="F73" s="82">
        <v>4596.54</v>
      </c>
      <c r="G73" s="76">
        <f t="shared" si="599"/>
        <v>0.30643599999999999</v>
      </c>
      <c r="H73" s="70">
        <v>7112.04</v>
      </c>
      <c r="I73" s="76">
        <f t="shared" ref="I73" si="654">H73/$B73</f>
        <v>0.474136</v>
      </c>
      <c r="J73" s="70">
        <v>3881.04</v>
      </c>
      <c r="K73" s="76">
        <f t="shared" ref="K73" si="655">J73/$B73</f>
        <v>0.25873600000000002</v>
      </c>
      <c r="L73" s="70">
        <v>6196.54</v>
      </c>
      <c r="M73" s="76">
        <f t="shared" ref="M73" si="656">L73/$B73</f>
        <v>0.41310266666666667</v>
      </c>
      <c r="N73" s="70">
        <v>2085.19</v>
      </c>
      <c r="O73" s="76">
        <f t="shared" ref="O73" si="657">N73/$B73</f>
        <v>0.13901266666666667</v>
      </c>
      <c r="P73" s="70">
        <f>785.26</f>
        <v>785.26</v>
      </c>
      <c r="Q73" s="76">
        <f t="shared" ref="Q73" si="658">P73/$B73</f>
        <v>5.2350666666666663E-2</v>
      </c>
      <c r="R73" s="70">
        <v>708.19</v>
      </c>
      <c r="S73" s="76">
        <f t="shared" ref="S73" si="659">R73/$B73</f>
        <v>4.7212666666666674E-2</v>
      </c>
      <c r="T73" s="70">
        <v>708.19</v>
      </c>
      <c r="U73" s="76">
        <f t="shared" ref="U73" si="660">T73/$B73</f>
        <v>4.7212666666666674E-2</v>
      </c>
      <c r="V73" s="70">
        <v>508.19</v>
      </c>
      <c r="W73" s="76">
        <f t="shared" ref="W73" si="661">V73/$B73</f>
        <v>3.3879333333333331E-2</v>
      </c>
      <c r="X73" s="70">
        <v>378.55</v>
      </c>
      <c r="Y73" s="76">
        <f t="shared" ref="Y73" si="662">X73/$B73</f>
        <v>2.5236666666666668E-2</v>
      </c>
      <c r="Z73" s="70">
        <v>308.19</v>
      </c>
      <c r="AA73" s="76">
        <f t="shared" ref="AA73" si="663">Z73/$B73</f>
        <v>2.0545999999999998E-2</v>
      </c>
      <c r="AB73" s="66">
        <f t="shared" si="653"/>
        <v>27611.189999999991</v>
      </c>
      <c r="AC73" s="76">
        <f t="shared" si="620"/>
        <v>1.8407459999999993</v>
      </c>
      <c r="AD73" s="66">
        <f t="shared" si="546"/>
        <v>38471.59139999999</v>
      </c>
    </row>
    <row r="74" spans="1:30" x14ac:dyDescent="0.25">
      <c r="A74" s="64" t="s">
        <v>131</v>
      </c>
      <c r="B74" s="66">
        <v>30000</v>
      </c>
      <c r="C74" s="66">
        <f t="shared" si="631"/>
        <v>2500</v>
      </c>
      <c r="D74" s="82">
        <v>4288.21</v>
      </c>
      <c r="E74" s="75">
        <f t="shared" si="599"/>
        <v>0.14294033333333334</v>
      </c>
      <c r="F74" s="82">
        <v>4288.2299999999996</v>
      </c>
      <c r="G74" s="75">
        <f t="shared" si="599"/>
        <v>0.14294099999999998</v>
      </c>
      <c r="H74" s="70">
        <v>2697.82</v>
      </c>
      <c r="I74" s="75">
        <f t="shared" ref="I74" si="664">H74/$B74</f>
        <v>8.9927333333333345E-2</v>
      </c>
      <c r="J74" s="70"/>
      <c r="K74" s="75">
        <f t="shared" ref="K74" si="665">J74/$B74</f>
        <v>0</v>
      </c>
      <c r="L74" s="70"/>
      <c r="M74" s="75">
        <f t="shared" ref="M74" si="666">L74/$B74</f>
        <v>0</v>
      </c>
      <c r="N74" s="70"/>
      <c r="O74" s="75">
        <f t="shared" ref="O74" si="667">N74/$B74</f>
        <v>0</v>
      </c>
      <c r="P74" s="70"/>
      <c r="Q74" s="75">
        <f t="shared" ref="Q74" si="668">P74/$B74</f>
        <v>0</v>
      </c>
      <c r="R74" s="70"/>
      <c r="S74" s="75">
        <f t="shared" ref="S74" si="669">R74/$B74</f>
        <v>0</v>
      </c>
      <c r="T74" s="70">
        <v>9296.1200000000008</v>
      </c>
      <c r="U74" s="75">
        <f t="shared" ref="U74" si="670">T74/$B74</f>
        <v>0.30987066666666668</v>
      </c>
      <c r="V74" s="70">
        <v>4648.0600000000004</v>
      </c>
      <c r="W74" s="75">
        <f t="shared" ref="W74" si="671">V74/$B74</f>
        <v>0.15493533333333334</v>
      </c>
      <c r="X74" s="70">
        <v>4648.0600000000004</v>
      </c>
      <c r="Y74" s="75">
        <f t="shared" ref="Y74" si="672">X74/$B74</f>
        <v>0.15493533333333334</v>
      </c>
      <c r="Z74" s="70">
        <v>4648.0600000000004</v>
      </c>
      <c r="AA74" s="75">
        <f t="shared" ref="AA74" si="673">Z74/$B74</f>
        <v>0.15493533333333334</v>
      </c>
      <c r="AB74" s="66">
        <f t="shared" si="653"/>
        <v>34514.559999999998</v>
      </c>
      <c r="AC74" s="75">
        <f t="shared" si="620"/>
        <v>1.1504853333333334</v>
      </c>
      <c r="AD74" s="66">
        <f t="shared" si="546"/>
        <v>48090.286933333329</v>
      </c>
    </row>
    <row r="75" spans="1:30" x14ac:dyDescent="0.25">
      <c r="A75" s="49" t="s">
        <v>46</v>
      </c>
      <c r="B75" s="66">
        <v>0</v>
      </c>
      <c r="C75" s="66">
        <f t="shared" si="631"/>
        <v>0</v>
      </c>
      <c r="D75" s="82"/>
      <c r="E75" s="75"/>
      <c r="F75" s="82"/>
      <c r="G75" s="79"/>
      <c r="H75" s="71"/>
      <c r="I75" s="79"/>
      <c r="J75" s="71"/>
      <c r="K75" s="79"/>
      <c r="L75" s="71"/>
      <c r="M75" s="79"/>
      <c r="N75" s="71"/>
      <c r="O75" s="79"/>
      <c r="P75" s="71"/>
      <c r="Q75" s="79"/>
      <c r="R75" s="71"/>
      <c r="S75" s="79"/>
      <c r="T75" s="71"/>
      <c r="U75" s="79"/>
      <c r="V75" s="71"/>
      <c r="W75" s="79"/>
      <c r="X75" s="71"/>
      <c r="Y75" s="79"/>
      <c r="Z75" s="71"/>
      <c r="AA75" s="79"/>
      <c r="AB75" s="66">
        <f t="shared" si="653"/>
        <v>0</v>
      </c>
      <c r="AC75" s="79" t="e">
        <f t="shared" si="620"/>
        <v>#DIV/0!</v>
      </c>
      <c r="AD75" s="90">
        <v>10000</v>
      </c>
    </row>
    <row r="76" spans="1:30" ht="16.899999999999999" customHeight="1" x14ac:dyDescent="0.25">
      <c r="A76" s="48" t="s">
        <v>143</v>
      </c>
      <c r="B76" s="66">
        <v>712821.67020000005</v>
      </c>
      <c r="C76" s="66">
        <f t="shared" si="631"/>
        <v>59401.805850000004</v>
      </c>
      <c r="D76" s="82">
        <v>39432.69</v>
      </c>
      <c r="E76" s="75">
        <f t="shared" si="599"/>
        <v>5.5319151547309396E-2</v>
      </c>
      <c r="F76" s="82">
        <v>42605.93</v>
      </c>
      <c r="G76" s="76">
        <f t="shared" si="599"/>
        <v>5.9770811945217425E-2</v>
      </c>
      <c r="H76" s="70">
        <f>70402.54-0.02-22000</f>
        <v>48402.51999999999</v>
      </c>
      <c r="I76" s="76">
        <f t="shared" ref="I76" si="674">H76/$B76</f>
        <v>6.7902705576304165E-2</v>
      </c>
      <c r="J76" s="70">
        <f>66043.77-22000</f>
        <v>44043.770000000004</v>
      </c>
      <c r="K76" s="76">
        <f t="shared" ref="K76" si="675">J76/$B76</f>
        <v>6.1787922339176946E-2</v>
      </c>
      <c r="L76" s="70">
        <f>65648.01-22000</f>
        <v>43648.009999999995</v>
      </c>
      <c r="M76" s="76">
        <f t="shared" ref="M76" si="676">L76/$B76</f>
        <v>6.123272036293937E-2</v>
      </c>
      <c r="N76" s="70">
        <f>66069.77-22000</f>
        <v>44069.770000000004</v>
      </c>
      <c r="O76" s="76">
        <f t="shared" ref="O76" si="677">N76/$B76</f>
        <v>6.1824397100098148E-2</v>
      </c>
      <c r="P76" s="70">
        <f>65972.43-22000</f>
        <v>43972.429999999993</v>
      </c>
      <c r="Q76" s="76">
        <f t="shared" ref="Q76" si="678">P76/$B76</f>
        <v>6.1687841206710822E-2</v>
      </c>
      <c r="R76" s="70">
        <f>69446.39-22000</f>
        <v>47446.39</v>
      </c>
      <c r="S76" s="76">
        <f t="shared" ref="S76" si="679">R76/$B76</f>
        <v>6.6561374300935214E-2</v>
      </c>
      <c r="T76" s="70">
        <f>66846.21-22000</f>
        <v>44846.210000000006</v>
      </c>
      <c r="U76" s="76">
        <f t="shared" ref="U76" si="680">T76/$B76</f>
        <v>6.2913645691238973E-2</v>
      </c>
      <c r="V76" s="70">
        <f>70780.18-22000</f>
        <v>48780.179999999993</v>
      </c>
      <c r="W76" s="76">
        <f t="shared" ref="W76" si="681">V76/$B76</f>
        <v>6.8432515507438896E-2</v>
      </c>
      <c r="X76" s="70">
        <f>100051.48-47000</f>
        <v>53051.479999999996</v>
      </c>
      <c r="Y76" s="76">
        <f t="shared" ref="Y76" si="682">X76/$B76</f>
        <v>7.4424617289083075E-2</v>
      </c>
      <c r="Z76" s="70">
        <f>78753.21-25000</f>
        <v>53753.210000000006</v>
      </c>
      <c r="AA76" s="76">
        <f t="shared" ref="AA76" si="683">Z76/$B76</f>
        <v>7.5409057057592252E-2</v>
      </c>
      <c r="AB76" s="66">
        <f t="shared" si="653"/>
        <v>554052.59</v>
      </c>
      <c r="AC76" s="76">
        <f t="shared" si="620"/>
        <v>0.77726675992404459</v>
      </c>
      <c r="AD76" s="66">
        <f t="shared" si="546"/>
        <v>771979.94206666655</v>
      </c>
    </row>
    <row r="77" spans="1:30" x14ac:dyDescent="0.25">
      <c r="A77" s="48" t="s">
        <v>47</v>
      </c>
      <c r="B77" s="66">
        <v>96078.770999999993</v>
      </c>
      <c r="C77" s="66">
        <f t="shared" si="631"/>
        <v>8006.5642499999994</v>
      </c>
      <c r="D77" s="82">
        <f>3056.54+12863.62</f>
        <v>15920.16</v>
      </c>
      <c r="E77" s="75">
        <f t="shared" si="599"/>
        <v>0.16569903876060196</v>
      </c>
      <c r="F77" s="82">
        <f>5421.53+11451.06</f>
        <v>16872.59</v>
      </c>
      <c r="G77" s="76">
        <f t="shared" si="599"/>
        <v>0.17561205065789195</v>
      </c>
      <c r="H77" s="70">
        <f>10009.45+4450.03+34.37</f>
        <v>14493.85</v>
      </c>
      <c r="I77" s="76">
        <f t="shared" ref="I77" si="684">H77/$B77</f>
        <v>0.15085382388998295</v>
      </c>
      <c r="J77" s="70">
        <f>6921.74+4353.44+65.12</f>
        <v>11340.300000000001</v>
      </c>
      <c r="K77" s="76">
        <f t="shared" ref="K77" si="685">J77/$B77</f>
        <v>0.1180312766490321</v>
      </c>
      <c r="L77" s="70">
        <f>7729.78+3163.7+50.44</f>
        <v>10943.92</v>
      </c>
      <c r="M77" s="76">
        <f t="shared" ref="M77" si="686">L77/$B77</f>
        <v>0.11390570347741023</v>
      </c>
      <c r="N77" s="70">
        <f>17186.01+2934+629.21</f>
        <v>20749.219999999998</v>
      </c>
      <c r="O77" s="76">
        <f t="shared" ref="O77" si="687">N77/$B77</f>
        <v>0.2159605059894032</v>
      </c>
      <c r="P77" s="70">
        <f>13040.7+3335.31</f>
        <v>16376.01</v>
      </c>
      <c r="Q77" s="76">
        <f t="shared" ref="Q77" si="688">P77/$B77</f>
        <v>0.17044358321361128</v>
      </c>
      <c r="R77" s="70">
        <f>10753.21+3630.98+170</f>
        <v>14554.189999999999</v>
      </c>
      <c r="S77" s="76">
        <f t="shared" ref="S77" si="689">R77/$B77</f>
        <v>0.15148185024140243</v>
      </c>
      <c r="T77" s="70">
        <f>9537.85+3481.37</f>
        <v>13019.220000000001</v>
      </c>
      <c r="U77" s="76">
        <f t="shared" ref="U77" si="690">T77/$B77</f>
        <v>0.1355056883481576</v>
      </c>
      <c r="V77" s="70">
        <f>10359.35+4330.36</f>
        <v>14689.71</v>
      </c>
      <c r="W77" s="76">
        <f t="shared" ref="W77" si="691">V77/$B77</f>
        <v>0.15289235954111027</v>
      </c>
      <c r="X77" s="70">
        <f>8842.75+4106.16+884.5</f>
        <v>13833.41</v>
      </c>
      <c r="Y77" s="76">
        <f t="shared" ref="Y77" si="692">X77/$B77</f>
        <v>0.14397988084173141</v>
      </c>
      <c r="Z77" s="70">
        <f>11981.04+4936.91+559.62</f>
        <v>17477.57</v>
      </c>
      <c r="AA77" s="76">
        <f t="shared" ref="AA77" si="693">Z77/$B77</f>
        <v>0.18190875901191536</v>
      </c>
      <c r="AB77" s="66">
        <f t="shared" si="653"/>
        <v>180270.15000000002</v>
      </c>
      <c r="AC77" s="76">
        <f t="shared" si="620"/>
        <v>1.8762745206222511</v>
      </c>
      <c r="AD77" s="66">
        <f t="shared" si="546"/>
        <v>251176.40900000001</v>
      </c>
    </row>
    <row r="78" spans="1:30" x14ac:dyDescent="0.25">
      <c r="A78" s="46" t="s">
        <v>48</v>
      </c>
      <c r="B78" s="38">
        <v>46262.832800000004</v>
      </c>
      <c r="C78" s="38">
        <f t="shared" si="631"/>
        <v>3855.2360666666668</v>
      </c>
      <c r="D78" s="38">
        <f>SUM(D79:D85)</f>
        <v>1787.98</v>
      </c>
      <c r="E78" s="78">
        <f t="shared" si="599"/>
        <v>3.8648303438954132E-2</v>
      </c>
      <c r="F78" s="38">
        <f>SUM(F79:F85)</f>
        <v>4307</v>
      </c>
      <c r="G78" s="78">
        <f t="shared" si="599"/>
        <v>9.3098492662991444E-2</v>
      </c>
      <c r="H78" s="38">
        <f>SUM(H79:H85)</f>
        <v>3949.3</v>
      </c>
      <c r="I78" s="78">
        <f t="shared" ref="I78" si="694">H78/$B78</f>
        <v>8.5366583950302319E-2</v>
      </c>
      <c r="J78" s="38">
        <f>SUM(J79:J85)</f>
        <v>2782.02</v>
      </c>
      <c r="K78" s="78">
        <f t="shared" ref="K78" si="695">J78/$B78</f>
        <v>6.0135098341837806E-2</v>
      </c>
      <c r="L78" s="38">
        <f>SUM(L79:L85)</f>
        <v>837.73000000000013</v>
      </c>
      <c r="M78" s="78">
        <f t="shared" ref="M78" si="696">L78/$B78</f>
        <v>1.8108056711996244E-2</v>
      </c>
      <c r="N78" s="38">
        <f>SUM(N79:N85)</f>
        <v>1615.53</v>
      </c>
      <c r="O78" s="78">
        <f t="shared" ref="O78" si="697">N78/$B78</f>
        <v>3.4920689076350722E-2</v>
      </c>
      <c r="P78" s="38">
        <f>SUM(P79:P85)</f>
        <v>4386.75</v>
      </c>
      <c r="Q78" s="78">
        <f t="shared" ref="Q78" si="698">P78/$B78</f>
        <v>9.482233867875034E-2</v>
      </c>
      <c r="R78" s="38">
        <f>SUM(R79:R85)</f>
        <v>8904.31</v>
      </c>
      <c r="S78" s="78">
        <f t="shared" ref="S78" si="699">R78/$B78</f>
        <v>0.19247221713582569</v>
      </c>
      <c r="T78" s="38">
        <f>SUM(T79:T85)</f>
        <v>12400.009999999998</v>
      </c>
      <c r="U78" s="78">
        <f t="shared" ref="U78" si="700">T78/$B78</f>
        <v>0.2680339540297238</v>
      </c>
      <c r="V78" s="38">
        <f>SUM(V79:V85)</f>
        <v>5973.69</v>
      </c>
      <c r="W78" s="78">
        <f t="shared" ref="W78" si="701">V78/$B78</f>
        <v>0.1291250370643105</v>
      </c>
      <c r="X78" s="38">
        <f>SUM(X79:X85)</f>
        <v>5602.76</v>
      </c>
      <c r="Y78" s="78">
        <f t="shared" ref="Y78" si="702">X78/$B78</f>
        <v>0.1211071536458096</v>
      </c>
      <c r="Z78" s="38">
        <f>SUM(Z79:Z85)</f>
        <v>3537</v>
      </c>
      <c r="AA78" s="78">
        <f t="shared" ref="AA78" si="703">Z78/$B78</f>
        <v>7.6454462166008985E-2</v>
      </c>
      <c r="AB78" s="38">
        <f>SUM(AB79:AB85)</f>
        <v>56084.08</v>
      </c>
      <c r="AC78" s="78">
        <f t="shared" si="620"/>
        <v>1.2122923869028617</v>
      </c>
      <c r="AD78" s="38">
        <f>SUM(AD79:AD85)</f>
        <v>81948.612266666663</v>
      </c>
    </row>
    <row r="79" spans="1:30" x14ac:dyDescent="0.25">
      <c r="A79" s="48" t="s">
        <v>98</v>
      </c>
      <c r="B79" s="66">
        <v>1000</v>
      </c>
      <c r="C79" s="66">
        <f t="shared" si="631"/>
        <v>83.333333333333329</v>
      </c>
      <c r="D79" s="82"/>
      <c r="E79" s="75">
        <f t="shared" si="599"/>
        <v>0</v>
      </c>
      <c r="F79" s="82"/>
      <c r="G79" s="76">
        <f t="shared" si="599"/>
        <v>0</v>
      </c>
      <c r="H79" s="70"/>
      <c r="I79" s="76">
        <f t="shared" ref="I79" si="704">H79/$B79</f>
        <v>0</v>
      </c>
      <c r="J79" s="70"/>
      <c r="K79" s="76">
        <f t="shared" ref="K79" si="705">J79/$B79</f>
        <v>0</v>
      </c>
      <c r="L79" s="70"/>
      <c r="M79" s="76">
        <f t="shared" ref="M79" si="706">L79/$B79</f>
        <v>0</v>
      </c>
      <c r="N79" s="70">
        <v>88.35</v>
      </c>
      <c r="O79" s="76">
        <f t="shared" ref="O79" si="707">N79/$B79</f>
        <v>8.8349999999999998E-2</v>
      </c>
      <c r="P79" s="70"/>
      <c r="Q79" s="76">
        <f t="shared" ref="Q79" si="708">P79/$B79</f>
        <v>0</v>
      </c>
      <c r="R79" s="70"/>
      <c r="S79" s="76">
        <f t="shared" ref="S79" si="709">R79/$B79</f>
        <v>0</v>
      </c>
      <c r="T79" s="70">
        <v>42.26</v>
      </c>
      <c r="U79" s="76">
        <f t="shared" ref="U79" si="710">T79/$B79</f>
        <v>4.2259999999999999E-2</v>
      </c>
      <c r="V79" s="70"/>
      <c r="W79" s="76">
        <f t="shared" ref="W79" si="711">V79/$B79</f>
        <v>0</v>
      </c>
      <c r="X79" s="70"/>
      <c r="Y79" s="76">
        <f t="shared" ref="Y79" si="712">X79/$B79</f>
        <v>0</v>
      </c>
      <c r="Z79" s="70"/>
      <c r="AA79" s="76">
        <f t="shared" ref="AA79" si="713">Z79/$B79</f>
        <v>0</v>
      </c>
      <c r="AB79" s="66">
        <f t="shared" ref="AB79:AB85" si="714">D79+F79+H79+J79+L79+N79+P79+R79+T79+V79+X79+Z79</f>
        <v>130.60999999999999</v>
      </c>
      <c r="AC79" s="76">
        <f t="shared" si="620"/>
        <v>0.13060999999999998</v>
      </c>
      <c r="AD79" s="66">
        <f t="shared" si="546"/>
        <v>181.98326666666662</v>
      </c>
    </row>
    <row r="80" spans="1:30" x14ac:dyDescent="0.25">
      <c r="A80" s="47" t="s">
        <v>49</v>
      </c>
      <c r="B80" s="66">
        <v>5000</v>
      </c>
      <c r="C80" s="66">
        <f t="shared" si="631"/>
        <v>416.66666666666669</v>
      </c>
      <c r="D80" s="82"/>
      <c r="E80" s="75">
        <f t="shared" si="599"/>
        <v>0</v>
      </c>
      <c r="F80" s="82"/>
      <c r="G80" s="76">
        <f t="shared" si="599"/>
        <v>0</v>
      </c>
      <c r="H80" s="70"/>
      <c r="I80" s="76">
        <f t="shared" ref="I80" si="715">H80/$B80</f>
        <v>0</v>
      </c>
      <c r="J80" s="70"/>
      <c r="K80" s="76">
        <f t="shared" ref="K80" si="716">J80/$B80</f>
        <v>0</v>
      </c>
      <c r="L80" s="70"/>
      <c r="M80" s="76">
        <f t="shared" ref="M80" si="717">L80/$B80</f>
        <v>0</v>
      </c>
      <c r="N80" s="70"/>
      <c r="O80" s="76">
        <f t="shared" ref="O80" si="718">N80/$B80</f>
        <v>0</v>
      </c>
      <c r="P80" s="70"/>
      <c r="Q80" s="76">
        <f t="shared" ref="Q80" si="719">P80/$B80</f>
        <v>0</v>
      </c>
      <c r="R80" s="70">
        <v>1297.32</v>
      </c>
      <c r="S80" s="76">
        <f t="shared" ref="S80" si="720">R80/$B80</f>
        <v>0.25946399999999997</v>
      </c>
      <c r="T80" s="70">
        <v>1229</v>
      </c>
      <c r="U80" s="76">
        <f t="shared" ref="U80" si="721">T80/$B80</f>
        <v>0.24579999999999999</v>
      </c>
      <c r="V80" s="70"/>
      <c r="W80" s="76">
        <f t="shared" ref="W80" si="722">V80/$B80</f>
        <v>0</v>
      </c>
      <c r="X80" s="70"/>
      <c r="Y80" s="76">
        <f t="shared" ref="Y80" si="723">X80/$B80</f>
        <v>0</v>
      </c>
      <c r="Z80" s="70">
        <v>1920</v>
      </c>
      <c r="AA80" s="76">
        <f t="shared" ref="AA80" si="724">Z80/$B80</f>
        <v>0.38400000000000001</v>
      </c>
      <c r="AB80" s="66">
        <f t="shared" si="714"/>
        <v>4446.32</v>
      </c>
      <c r="AC80" s="76">
        <f t="shared" si="620"/>
        <v>0.88926399999999994</v>
      </c>
      <c r="AD80" s="66">
        <v>5000</v>
      </c>
    </row>
    <row r="81" spans="1:30" x14ac:dyDescent="0.25">
      <c r="A81" s="47" t="s">
        <v>50</v>
      </c>
      <c r="B81" s="66">
        <v>3138.6441000000004</v>
      </c>
      <c r="C81" s="66">
        <f t="shared" si="631"/>
        <v>261.55367500000006</v>
      </c>
      <c r="D81" s="82"/>
      <c r="E81" s="75">
        <f t="shared" si="599"/>
        <v>0</v>
      </c>
      <c r="F81" s="82"/>
      <c r="G81" s="76">
        <f t="shared" si="599"/>
        <v>0</v>
      </c>
      <c r="H81" s="70">
        <v>2021.3</v>
      </c>
      <c r="I81" s="76">
        <f t="shared" ref="I81" si="725">H81/$B81</f>
        <v>0.64400420551027104</v>
      </c>
      <c r="J81" s="70"/>
      <c r="K81" s="76">
        <f t="shared" ref="K81" si="726">J81/$B81</f>
        <v>0</v>
      </c>
      <c r="L81" s="70">
        <v>59.5</v>
      </c>
      <c r="M81" s="76">
        <f t="shared" ref="M81" si="727">L81/$B81</f>
        <v>1.8957230607955834E-2</v>
      </c>
      <c r="N81" s="70">
        <v>35.200000000000003</v>
      </c>
      <c r="O81" s="76">
        <f t="shared" ref="O81" si="728">N81/$B81</f>
        <v>1.1215033905883116E-2</v>
      </c>
      <c r="P81" s="70">
        <v>449.5</v>
      </c>
      <c r="Q81" s="76">
        <f t="shared" ref="Q81" si="729">P81/$B81</f>
        <v>0.14321470854245627</v>
      </c>
      <c r="R81" s="70"/>
      <c r="S81" s="76">
        <f t="shared" ref="S81" si="730">R81/$B81</f>
        <v>0</v>
      </c>
      <c r="T81" s="70">
        <v>1816.2</v>
      </c>
      <c r="U81" s="76">
        <f t="shared" ref="U81" si="731">T81/$B81</f>
        <v>0.57865751647343511</v>
      </c>
      <c r="V81" s="70">
        <v>97.4</v>
      </c>
      <c r="W81" s="76">
        <f t="shared" ref="W81" si="732">V81/$B81</f>
        <v>3.103250859184703E-2</v>
      </c>
      <c r="X81" s="70"/>
      <c r="Y81" s="76">
        <f t="shared" ref="Y81" si="733">X81/$B81</f>
        <v>0</v>
      </c>
      <c r="Z81" s="70">
        <v>1575</v>
      </c>
      <c r="AA81" s="76">
        <f t="shared" ref="AA81" si="734">Z81/$B81</f>
        <v>0.50180904550471328</v>
      </c>
      <c r="AB81" s="66">
        <f t="shared" si="714"/>
        <v>6054.0999999999995</v>
      </c>
      <c r="AC81" s="76">
        <f t="shared" si="620"/>
        <v>1.9288902491365614</v>
      </c>
      <c r="AD81" s="66">
        <f t="shared" si="546"/>
        <v>8435.3793333333324</v>
      </c>
    </row>
    <row r="82" spans="1:30" x14ac:dyDescent="0.25">
      <c r="A82" s="48" t="s">
        <v>97</v>
      </c>
      <c r="B82" s="66">
        <v>3211.6887000000002</v>
      </c>
      <c r="C82" s="66">
        <f t="shared" si="631"/>
        <v>267.64072500000003</v>
      </c>
      <c r="D82" s="82">
        <f>672-134.02</f>
        <v>537.98</v>
      </c>
      <c r="E82" s="75">
        <f t="shared" si="599"/>
        <v>0.16750689442597597</v>
      </c>
      <c r="F82" s="82">
        <v>168</v>
      </c>
      <c r="G82" s="76">
        <f t="shared" si="599"/>
        <v>5.2308930189902896E-2</v>
      </c>
      <c r="H82" s="70">
        <f>15+384</f>
        <v>399</v>
      </c>
      <c r="I82" s="76">
        <f t="shared" ref="I82" si="735">H82/$B82</f>
        <v>0.12423370920101938</v>
      </c>
      <c r="J82" s="70">
        <v>40</v>
      </c>
      <c r="K82" s="76">
        <f t="shared" ref="K82" si="736">J82/$B82</f>
        <v>1.2454507188072119E-2</v>
      </c>
      <c r="L82" s="70"/>
      <c r="M82" s="76">
        <f t="shared" ref="M82" si="737">L82/$B82</f>
        <v>0</v>
      </c>
      <c r="N82" s="70">
        <f>200+41.98</f>
        <v>241.98</v>
      </c>
      <c r="O82" s="76">
        <f t="shared" ref="O82" si="738">N82/$B82</f>
        <v>7.5343541234242278E-2</v>
      </c>
      <c r="P82" s="70">
        <v>30</v>
      </c>
      <c r="Q82" s="76">
        <f t="shared" ref="Q82" si="739">P82/$B82</f>
        <v>9.3408803910540895E-3</v>
      </c>
      <c r="R82" s="70"/>
      <c r="S82" s="76">
        <f t="shared" ref="S82" si="740">R82/$B82</f>
        <v>0</v>
      </c>
      <c r="T82" s="70">
        <f>27.99+30</f>
        <v>57.989999999999995</v>
      </c>
      <c r="U82" s="76">
        <f t="shared" ref="U82" si="741">T82/$B82</f>
        <v>1.8055921795907551E-2</v>
      </c>
      <c r="V82" s="70">
        <f>68.25+497.96+13</f>
        <v>579.21</v>
      </c>
      <c r="W82" s="76">
        <f t="shared" ref="W82" si="742">V82/$B82</f>
        <v>0.1803443777100813</v>
      </c>
      <c r="X82" s="70">
        <v>190.76</v>
      </c>
      <c r="Y82" s="76">
        <f t="shared" ref="Y82" si="743">X82/$B82</f>
        <v>5.9395544779915932E-2</v>
      </c>
      <c r="Z82" s="70">
        <f>23+19</f>
        <v>42</v>
      </c>
      <c r="AA82" s="76">
        <f t="shared" ref="AA82" si="744">Z82/$B82</f>
        <v>1.3077232547475724E-2</v>
      </c>
      <c r="AB82" s="66">
        <f t="shared" si="714"/>
        <v>2286.92</v>
      </c>
      <c r="AC82" s="76">
        <f t="shared" si="620"/>
        <v>0.71206153946364725</v>
      </c>
      <c r="AD82" s="66">
        <f t="shared" si="546"/>
        <v>3186.4418666666666</v>
      </c>
    </row>
    <row r="83" spans="1:30" x14ac:dyDescent="0.25">
      <c r="A83" s="47" t="s">
        <v>51</v>
      </c>
      <c r="B83" s="66">
        <v>15000</v>
      </c>
      <c r="C83" s="66">
        <f t="shared" si="631"/>
        <v>1250</v>
      </c>
      <c r="D83" s="82"/>
      <c r="E83" s="75">
        <f t="shared" si="599"/>
        <v>0</v>
      </c>
      <c r="F83" s="82">
        <v>2889</v>
      </c>
      <c r="G83" s="76">
        <f t="shared" si="599"/>
        <v>0.19259999999999999</v>
      </c>
      <c r="H83" s="70">
        <f>810.25-531.25</f>
        <v>279</v>
      </c>
      <c r="I83" s="76">
        <f t="shared" ref="I83" si="745">H83/$B83</f>
        <v>1.8599999999999998E-2</v>
      </c>
      <c r="J83" s="70">
        <v>1492.02</v>
      </c>
      <c r="K83" s="76">
        <f t="shared" ref="K83" si="746">J83/$B83</f>
        <v>9.9468000000000001E-2</v>
      </c>
      <c r="L83" s="70">
        <f>656.34-1128.11</f>
        <v>-471.76999999999987</v>
      </c>
      <c r="M83" s="76">
        <f t="shared" ref="M83" si="747">L83/$B83</f>
        <v>-3.1451333333333324E-2</v>
      </c>
      <c r="N83" s="70"/>
      <c r="O83" s="76">
        <f t="shared" ref="O83" si="748">N83/$B83</f>
        <v>0</v>
      </c>
      <c r="P83" s="70">
        <v>2657.25</v>
      </c>
      <c r="Q83" s="76">
        <f t="shared" ref="Q83" si="749">P83/$B83</f>
        <v>0.17715</v>
      </c>
      <c r="R83" s="70">
        <v>6356.99</v>
      </c>
      <c r="S83" s="76">
        <f t="shared" ref="S83" si="750">R83/$B83</f>
        <v>0.42379933333333331</v>
      </c>
      <c r="T83" s="70">
        <f>8949.56-945</f>
        <v>8004.5599999999995</v>
      </c>
      <c r="U83" s="76">
        <f t="shared" ref="U83" si="751">T83/$B83</f>
        <v>0.5336373333333333</v>
      </c>
      <c r="V83" s="70">
        <v>4047.08</v>
      </c>
      <c r="W83" s="76">
        <f t="shared" ref="W83" si="752">V83/$B83</f>
        <v>0.26980533333333334</v>
      </c>
      <c r="X83" s="70">
        <v>2762</v>
      </c>
      <c r="Y83" s="76">
        <f t="shared" ref="Y83" si="753">X83/$B83</f>
        <v>0.18413333333333334</v>
      </c>
      <c r="Z83" s="70"/>
      <c r="AA83" s="76">
        <f t="shared" ref="AA83" si="754">Z83/$B83</f>
        <v>0</v>
      </c>
      <c r="AB83" s="66">
        <f t="shared" si="714"/>
        <v>28016.130000000005</v>
      </c>
      <c r="AC83" s="76">
        <f t="shared" si="620"/>
        <v>1.8677420000000002</v>
      </c>
      <c r="AD83" s="66">
        <f t="shared" si="546"/>
        <v>39035.807800000002</v>
      </c>
    </row>
    <row r="84" spans="1:30" x14ac:dyDescent="0.25">
      <c r="A84" s="49" t="s">
        <v>52</v>
      </c>
      <c r="B84" s="66">
        <v>13912.5</v>
      </c>
      <c r="C84" s="66">
        <f t="shared" si="631"/>
        <v>1159.375</v>
      </c>
      <c r="D84" s="82">
        <v>1250</v>
      </c>
      <c r="E84" s="75">
        <f t="shared" si="599"/>
        <v>8.9847259658580411E-2</v>
      </c>
      <c r="F84" s="82">
        <v>1250</v>
      </c>
      <c r="G84" s="76">
        <f t="shared" si="599"/>
        <v>8.9847259658580411E-2</v>
      </c>
      <c r="H84" s="70">
        <v>1250</v>
      </c>
      <c r="I84" s="76">
        <f t="shared" ref="I84" si="755">H84/$B84</f>
        <v>8.9847259658580411E-2</v>
      </c>
      <c r="J84" s="70">
        <f>1250</f>
        <v>1250</v>
      </c>
      <c r="K84" s="76">
        <f t="shared" ref="K84" si="756">J84/$B84</f>
        <v>8.9847259658580411E-2</v>
      </c>
      <c r="L84" s="70">
        <f>1250</f>
        <v>1250</v>
      </c>
      <c r="M84" s="76">
        <f t="shared" ref="M84" si="757">L84/$B84</f>
        <v>8.9847259658580411E-2</v>
      </c>
      <c r="N84" s="70">
        <v>1250</v>
      </c>
      <c r="O84" s="76">
        <f t="shared" ref="O84" si="758">N84/$B84</f>
        <v>8.9847259658580411E-2</v>
      </c>
      <c r="P84" s="70">
        <f>1250</f>
        <v>1250</v>
      </c>
      <c r="Q84" s="76">
        <f t="shared" ref="Q84" si="759">P84/$B84</f>
        <v>8.9847259658580411E-2</v>
      </c>
      <c r="R84" s="70">
        <v>1250</v>
      </c>
      <c r="S84" s="76">
        <f t="shared" ref="S84" si="760">R84/$B84</f>
        <v>8.9847259658580411E-2</v>
      </c>
      <c r="T84" s="70">
        <v>1250</v>
      </c>
      <c r="U84" s="76">
        <f t="shared" ref="U84" si="761">T84/$B84</f>
        <v>8.9847259658580411E-2</v>
      </c>
      <c r="V84" s="70">
        <f>1250</f>
        <v>1250</v>
      </c>
      <c r="W84" s="76">
        <f t="shared" ref="W84" si="762">V84/$B84</f>
        <v>8.9847259658580411E-2</v>
      </c>
      <c r="X84" s="70">
        <f>2650</f>
        <v>2650</v>
      </c>
      <c r="Y84" s="76">
        <f t="shared" ref="Y84" si="763">X84/$B84</f>
        <v>0.19047619047619047</v>
      </c>
      <c r="Z84" s="70"/>
      <c r="AA84" s="76">
        <f t="shared" ref="AA84" si="764">Z84/$B84</f>
        <v>0</v>
      </c>
      <c r="AB84" s="66">
        <f t="shared" si="714"/>
        <v>15150</v>
      </c>
      <c r="AC84" s="76">
        <f t="shared" si="620"/>
        <v>1.0889487870619947</v>
      </c>
      <c r="AD84" s="66">
        <f t="shared" si="546"/>
        <v>21108.999999999996</v>
      </c>
    </row>
    <row r="85" spans="1:30" x14ac:dyDescent="0.25">
      <c r="A85" s="64" t="s">
        <v>53</v>
      </c>
      <c r="B85" s="66">
        <v>5000</v>
      </c>
      <c r="C85" s="66">
        <f t="shared" si="631"/>
        <v>416.66666666666669</v>
      </c>
      <c r="D85" s="70"/>
      <c r="E85" s="75">
        <f t="shared" si="599"/>
        <v>0</v>
      </c>
      <c r="F85" s="70"/>
      <c r="G85" s="75">
        <f t="shared" si="599"/>
        <v>0</v>
      </c>
      <c r="H85" s="70"/>
      <c r="I85" s="75">
        <f t="shared" ref="I85" si="765">H85/$B85</f>
        <v>0</v>
      </c>
      <c r="J85" s="70"/>
      <c r="K85" s="75">
        <f t="shared" ref="K85" si="766">J85/$B85</f>
        <v>0</v>
      </c>
      <c r="L85" s="70"/>
      <c r="M85" s="75">
        <f t="shared" ref="M85" si="767">L85/$B85</f>
        <v>0</v>
      </c>
      <c r="N85" s="70"/>
      <c r="O85" s="75">
        <f t="shared" ref="O85" si="768">N85/$B85</f>
        <v>0</v>
      </c>
      <c r="P85" s="70"/>
      <c r="Q85" s="75">
        <f t="shared" ref="Q85" si="769">P85/$B85</f>
        <v>0</v>
      </c>
      <c r="R85" s="70"/>
      <c r="S85" s="75">
        <f t="shared" ref="S85" si="770">R85/$B85</f>
        <v>0</v>
      </c>
      <c r="T85" s="70"/>
      <c r="U85" s="75">
        <f t="shared" ref="U85" si="771">T85/$B85</f>
        <v>0</v>
      </c>
      <c r="V85" s="70"/>
      <c r="W85" s="75">
        <f t="shared" ref="W85" si="772">V85/$B85</f>
        <v>0</v>
      </c>
      <c r="X85" s="70"/>
      <c r="Y85" s="75">
        <f t="shared" ref="Y85" si="773">X85/$B85</f>
        <v>0</v>
      </c>
      <c r="Z85" s="70"/>
      <c r="AA85" s="75">
        <f t="shared" ref="AA85" si="774">Z85/$B85</f>
        <v>0</v>
      </c>
      <c r="AB85" s="66">
        <f t="shared" si="714"/>
        <v>0</v>
      </c>
      <c r="AC85" s="75">
        <f t="shared" si="620"/>
        <v>0</v>
      </c>
      <c r="AD85" s="66">
        <v>5000</v>
      </c>
    </row>
    <row r="86" spans="1:30" x14ac:dyDescent="0.25">
      <c r="A86" s="45" t="s">
        <v>54</v>
      </c>
      <c r="B86" s="37">
        <v>205000</v>
      </c>
      <c r="C86" s="37">
        <f t="shared" si="631"/>
        <v>17083.333333333332</v>
      </c>
      <c r="D86" s="37">
        <f>D87</f>
        <v>1390</v>
      </c>
      <c r="E86" s="77">
        <f t="shared" si="599"/>
        <v>6.7804878048780487E-3</v>
      </c>
      <c r="F86" s="37">
        <f>F87</f>
        <v>8310</v>
      </c>
      <c r="G86" s="77">
        <f t="shared" si="599"/>
        <v>4.053658536585366E-2</v>
      </c>
      <c r="H86" s="37">
        <f>H87</f>
        <v>16082.11</v>
      </c>
      <c r="I86" s="77">
        <f t="shared" ref="I86" si="775">H86/$B86</f>
        <v>7.8449317073170738E-2</v>
      </c>
      <c r="J86" s="37">
        <f>J87</f>
        <v>7491.73</v>
      </c>
      <c r="K86" s="77">
        <f t="shared" ref="K86" si="776">J86/$B86</f>
        <v>3.6545024390243902E-2</v>
      </c>
      <c r="L86" s="37">
        <f>L87</f>
        <v>3884.98</v>
      </c>
      <c r="M86" s="77">
        <f t="shared" ref="M86" si="777">L86/$B86</f>
        <v>1.8951121951219511E-2</v>
      </c>
      <c r="N86" s="37">
        <f>N87</f>
        <v>66052.800000000003</v>
      </c>
      <c r="O86" s="77">
        <f t="shared" ref="O86" si="778">N86/$B86</f>
        <v>0.32220878048780488</v>
      </c>
      <c r="P86" s="37">
        <f>P87</f>
        <v>640</v>
      </c>
      <c r="Q86" s="77">
        <f t="shared" ref="Q86" si="779">P86/$B86</f>
        <v>3.1219512195121953E-3</v>
      </c>
      <c r="R86" s="37">
        <f>R87</f>
        <v>107</v>
      </c>
      <c r="S86" s="77">
        <f t="shared" ref="S86" si="780">R86/$B86</f>
        <v>5.2195121951219509E-4</v>
      </c>
      <c r="T86" s="37">
        <f>T87</f>
        <v>3305.62</v>
      </c>
      <c r="U86" s="77">
        <f t="shared" ref="U86" si="781">T86/$B86</f>
        <v>1.6124975609756096E-2</v>
      </c>
      <c r="V86" s="37">
        <f>V87</f>
        <v>18802.650000000001</v>
      </c>
      <c r="W86" s="77">
        <f t="shared" ref="W86" si="782">V86/$B86</f>
        <v>9.1720243902439033E-2</v>
      </c>
      <c r="X86" s="37">
        <f>X87</f>
        <v>6980.74</v>
      </c>
      <c r="Y86" s="77">
        <f t="shared" ref="Y86" si="783">X86/$B86</f>
        <v>3.4052390243902435E-2</v>
      </c>
      <c r="Z86" s="37">
        <f>Z87</f>
        <v>27206.21</v>
      </c>
      <c r="AA86" s="77">
        <f t="shared" ref="AA86" si="784">Z86/$B86</f>
        <v>0.13271321951219511</v>
      </c>
      <c r="AB86" s="37">
        <f t="shared" ref="AB86" si="785">AB87</f>
        <v>160253.84000000003</v>
      </c>
      <c r="AC86" s="77">
        <f t="shared" si="620"/>
        <v>0.7817260487804879</v>
      </c>
      <c r="AD86" s="37">
        <f>AD87</f>
        <v>184296.41675</v>
      </c>
    </row>
    <row r="87" spans="1:30" x14ac:dyDescent="0.25">
      <c r="A87" s="46" t="s">
        <v>55</v>
      </c>
      <c r="B87" s="38">
        <v>205000</v>
      </c>
      <c r="C87" s="38">
        <f t="shared" si="631"/>
        <v>17083.333333333332</v>
      </c>
      <c r="D87" s="38">
        <f>SUM(D88:D100)</f>
        <v>1390</v>
      </c>
      <c r="E87" s="78">
        <f t="shared" si="599"/>
        <v>6.7804878048780487E-3</v>
      </c>
      <c r="F87" s="38">
        <f>SUM(F88:F100)</f>
        <v>8310</v>
      </c>
      <c r="G87" s="78">
        <f t="shared" si="599"/>
        <v>4.053658536585366E-2</v>
      </c>
      <c r="H87" s="38">
        <f>SUM(H88:H100)</f>
        <v>16082.11</v>
      </c>
      <c r="I87" s="78">
        <f t="shared" ref="I87" si="786">H87/$B87</f>
        <v>7.8449317073170738E-2</v>
      </c>
      <c r="J87" s="38">
        <f>SUM(J88:J100)</f>
        <v>7491.73</v>
      </c>
      <c r="K87" s="78">
        <f t="shared" ref="K87" si="787">J87/$B87</f>
        <v>3.6545024390243902E-2</v>
      </c>
      <c r="L87" s="38">
        <f>SUM(L88:L100)</f>
        <v>3884.98</v>
      </c>
      <c r="M87" s="78">
        <f t="shared" ref="M87" si="788">L87/$B87</f>
        <v>1.8951121951219511E-2</v>
      </c>
      <c r="N87" s="38">
        <f>SUM(N88:N100)</f>
        <v>66052.800000000003</v>
      </c>
      <c r="O87" s="78">
        <f t="shared" ref="O87" si="789">N87/$B87</f>
        <v>0.32220878048780488</v>
      </c>
      <c r="P87" s="38">
        <f>SUM(P88:P100)</f>
        <v>640</v>
      </c>
      <c r="Q87" s="78">
        <f t="shared" ref="Q87" si="790">P87/$B87</f>
        <v>3.1219512195121953E-3</v>
      </c>
      <c r="R87" s="38">
        <f>SUM(R88:R100)</f>
        <v>107</v>
      </c>
      <c r="S87" s="78">
        <f t="shared" ref="S87" si="791">R87/$B87</f>
        <v>5.2195121951219509E-4</v>
      </c>
      <c r="T87" s="38">
        <f>SUM(T88:T100)</f>
        <v>3305.62</v>
      </c>
      <c r="U87" s="78">
        <f t="shared" ref="U87" si="792">T87/$B87</f>
        <v>1.6124975609756096E-2</v>
      </c>
      <c r="V87" s="38">
        <f>SUM(V88:V100)</f>
        <v>18802.650000000001</v>
      </c>
      <c r="W87" s="78">
        <f t="shared" ref="W87" si="793">V87/$B87</f>
        <v>9.1720243902439033E-2</v>
      </c>
      <c r="X87" s="38">
        <f>SUM(X88:X100)</f>
        <v>6980.74</v>
      </c>
      <c r="Y87" s="78">
        <f t="shared" ref="Y87" si="794">X87/$B87</f>
        <v>3.4052390243902435E-2</v>
      </c>
      <c r="Z87" s="38">
        <f>SUM(Z88:Z100)</f>
        <v>27206.21</v>
      </c>
      <c r="AA87" s="78">
        <f t="shared" ref="AA87" si="795">Z87/$B87</f>
        <v>0.13271321951219511</v>
      </c>
      <c r="AB87" s="38">
        <f>SUM(AB88:AB100)</f>
        <v>160253.84000000003</v>
      </c>
      <c r="AC87" s="78">
        <f t="shared" si="620"/>
        <v>0.7817260487804879</v>
      </c>
      <c r="AD87" s="38">
        <f>SUM(AD88:AD100)</f>
        <v>184296.41675</v>
      </c>
    </row>
    <row r="88" spans="1:30" x14ac:dyDescent="0.25">
      <c r="A88" s="64" t="s">
        <v>56</v>
      </c>
      <c r="B88" s="66">
        <v>75000</v>
      </c>
      <c r="C88" s="66">
        <f t="shared" si="631"/>
        <v>6250</v>
      </c>
      <c r="D88" s="82"/>
      <c r="E88" s="75">
        <f t="shared" si="599"/>
        <v>0</v>
      </c>
      <c r="F88" s="82"/>
      <c r="G88" s="75">
        <f t="shared" si="599"/>
        <v>0</v>
      </c>
      <c r="H88" s="70"/>
      <c r="I88" s="75">
        <f t="shared" ref="I88" si="796">H88/$B88</f>
        <v>0</v>
      </c>
      <c r="J88" s="70">
        <v>1650</v>
      </c>
      <c r="K88" s="75">
        <f t="shared" ref="K88" si="797">J88/$B88</f>
        <v>2.1999999999999999E-2</v>
      </c>
      <c r="L88" s="70">
        <v>3686.08</v>
      </c>
      <c r="M88" s="75">
        <f t="shared" ref="M88" si="798">L88/$B88</f>
        <v>4.9147733333333332E-2</v>
      </c>
      <c r="N88" s="70">
        <f>66072.8-20</f>
        <v>66052.800000000003</v>
      </c>
      <c r="O88" s="75">
        <f t="shared" ref="O88" si="799">N88/$B88</f>
        <v>0.88070400000000004</v>
      </c>
      <c r="P88" s="70"/>
      <c r="Q88" s="75">
        <f t="shared" ref="Q88" si="800">P88/$B88</f>
        <v>0</v>
      </c>
      <c r="R88" s="70"/>
      <c r="S88" s="75">
        <f t="shared" ref="S88" si="801">R88/$B88</f>
        <v>0</v>
      </c>
      <c r="T88" s="70"/>
      <c r="U88" s="75">
        <f t="shared" ref="U88" si="802">T88/$B88</f>
        <v>0</v>
      </c>
      <c r="V88" s="70"/>
      <c r="W88" s="75">
        <f t="shared" ref="W88" si="803">V88/$B88</f>
        <v>0</v>
      </c>
      <c r="X88" s="70"/>
      <c r="Y88" s="75">
        <f t="shared" ref="Y88" si="804">X88/$B88</f>
        <v>0</v>
      </c>
      <c r="Z88" s="70"/>
      <c r="AA88" s="75">
        <f t="shared" ref="AA88" si="805">Z88/$B88</f>
        <v>0</v>
      </c>
      <c r="AB88" s="66">
        <f t="shared" ref="AB88:AB100" si="806">D88+F88+H88+J88+L88+N88+P88+R88+T88+V88+X88+Z88</f>
        <v>71388.88</v>
      </c>
      <c r="AC88" s="75">
        <f t="shared" si="620"/>
        <v>0.95185173333333339</v>
      </c>
      <c r="AD88" s="66">
        <f>AB88*AE3</f>
        <v>74601.3796</v>
      </c>
    </row>
    <row r="89" spans="1:30" x14ac:dyDescent="0.25">
      <c r="A89" s="64" t="s">
        <v>57</v>
      </c>
      <c r="B89" s="66">
        <v>15000</v>
      </c>
      <c r="C89" s="66">
        <f t="shared" si="631"/>
        <v>1250</v>
      </c>
      <c r="D89" s="82"/>
      <c r="E89" s="75">
        <f t="shared" si="599"/>
        <v>0</v>
      </c>
      <c r="F89" s="82"/>
      <c r="G89" s="75">
        <f t="shared" si="599"/>
        <v>0</v>
      </c>
      <c r="H89" s="70">
        <v>2350</v>
      </c>
      <c r="I89" s="75">
        <f t="shared" ref="I89" si="807">H89/$B89</f>
        <v>0.15666666666666668</v>
      </c>
      <c r="J89" s="70"/>
      <c r="K89" s="75">
        <f t="shared" ref="K89" si="808">J89/$B89</f>
        <v>0</v>
      </c>
      <c r="L89" s="70"/>
      <c r="M89" s="75">
        <f t="shared" ref="M89" si="809">L89/$B89</f>
        <v>0</v>
      </c>
      <c r="N89" s="70"/>
      <c r="O89" s="75">
        <f t="shared" ref="O89" si="810">N89/$B89</f>
        <v>0</v>
      </c>
      <c r="P89" s="70"/>
      <c r="Q89" s="75">
        <f t="shared" ref="Q89" si="811">P89/$B89</f>
        <v>0</v>
      </c>
      <c r="R89" s="70"/>
      <c r="S89" s="75">
        <f t="shared" ref="S89" si="812">R89/$B89</f>
        <v>0</v>
      </c>
      <c r="T89" s="70">
        <v>686.11</v>
      </c>
      <c r="U89" s="75">
        <f t="shared" ref="U89" si="813">T89/$B89</f>
        <v>4.5740666666666666E-2</v>
      </c>
      <c r="V89" s="70">
        <v>18203.16</v>
      </c>
      <c r="W89" s="75">
        <f t="shared" ref="W89" si="814">V89/$B89</f>
        <v>1.213544</v>
      </c>
      <c r="X89" s="70">
        <v>2100</v>
      </c>
      <c r="Y89" s="75">
        <f t="shared" ref="Y89" si="815">X89/$B89</f>
        <v>0.14000000000000001</v>
      </c>
      <c r="Z89" s="70"/>
      <c r="AA89" s="75">
        <f t="shared" ref="AA89" si="816">Z89/$B89</f>
        <v>0</v>
      </c>
      <c r="AB89" s="66">
        <f t="shared" si="806"/>
        <v>23339.27</v>
      </c>
      <c r="AC89" s="75">
        <f t="shared" si="620"/>
        <v>1.5559513333333335</v>
      </c>
      <c r="AD89" s="66">
        <f>21239.27*AE3</f>
        <v>22195.03715</v>
      </c>
    </row>
    <row r="90" spans="1:30" x14ac:dyDescent="0.25">
      <c r="A90" s="47" t="s">
        <v>156</v>
      </c>
      <c r="B90" s="66">
        <v>5000</v>
      </c>
      <c r="C90" s="66">
        <f t="shared" si="631"/>
        <v>416.66666666666669</v>
      </c>
      <c r="D90" s="82"/>
      <c r="E90" s="75">
        <f t="shared" si="599"/>
        <v>0</v>
      </c>
      <c r="F90" s="82"/>
      <c r="G90" s="76">
        <f t="shared" si="599"/>
        <v>0</v>
      </c>
      <c r="H90" s="70"/>
      <c r="I90" s="76">
        <f t="shared" ref="I90" si="817">H90/$B90</f>
        <v>0</v>
      </c>
      <c r="J90" s="70"/>
      <c r="K90" s="76">
        <f t="shared" ref="K90" si="818">J90/$B90</f>
        <v>0</v>
      </c>
      <c r="L90" s="70"/>
      <c r="M90" s="76">
        <f t="shared" ref="M90" si="819">L90/$B90</f>
        <v>0</v>
      </c>
      <c r="N90" s="70"/>
      <c r="O90" s="76">
        <f t="shared" ref="O90" si="820">N90/$B90</f>
        <v>0</v>
      </c>
      <c r="P90" s="70"/>
      <c r="Q90" s="76">
        <f t="shared" ref="Q90" si="821">P90/$B90</f>
        <v>0</v>
      </c>
      <c r="R90" s="70"/>
      <c r="S90" s="76">
        <f t="shared" ref="S90" si="822">R90/$B90</f>
        <v>0</v>
      </c>
      <c r="T90" s="70"/>
      <c r="U90" s="76">
        <f t="shared" ref="U90" si="823">T90/$B90</f>
        <v>0</v>
      </c>
      <c r="V90" s="70"/>
      <c r="W90" s="76">
        <f t="shared" ref="W90" si="824">V90/$B90</f>
        <v>0</v>
      </c>
      <c r="X90" s="70"/>
      <c r="Y90" s="76">
        <f t="shared" ref="Y90" si="825">X90/$B90</f>
        <v>0</v>
      </c>
      <c r="Z90" s="70"/>
      <c r="AA90" s="76">
        <f t="shared" ref="AA90" si="826">Z90/$B90</f>
        <v>0</v>
      </c>
      <c r="AB90" s="66">
        <f t="shared" si="806"/>
        <v>0</v>
      </c>
      <c r="AC90" s="76">
        <f t="shared" si="620"/>
        <v>0</v>
      </c>
      <c r="AD90" s="66">
        <v>5000</v>
      </c>
    </row>
    <row r="91" spans="1:30" x14ac:dyDescent="0.25">
      <c r="A91" s="64" t="s">
        <v>58</v>
      </c>
      <c r="B91" s="66">
        <v>16500</v>
      </c>
      <c r="C91" s="66">
        <f t="shared" si="631"/>
        <v>1375</v>
      </c>
      <c r="D91" s="82"/>
      <c r="E91" s="75">
        <f t="shared" si="599"/>
        <v>0</v>
      </c>
      <c r="F91" s="82"/>
      <c r="G91" s="75">
        <f t="shared" si="599"/>
        <v>0</v>
      </c>
      <c r="H91" s="70"/>
      <c r="I91" s="75">
        <f t="shared" ref="I91" si="827">H91/$B91</f>
        <v>0</v>
      </c>
      <c r="J91" s="70"/>
      <c r="K91" s="75">
        <f t="shared" ref="K91" si="828">J91/$B91</f>
        <v>0</v>
      </c>
      <c r="L91" s="70"/>
      <c r="M91" s="75">
        <f t="shared" ref="M91" si="829">L91/$B91</f>
        <v>0</v>
      </c>
      <c r="N91" s="70"/>
      <c r="O91" s="75">
        <f t="shared" ref="O91" si="830">N91/$B91</f>
        <v>0</v>
      </c>
      <c r="P91" s="70"/>
      <c r="Q91" s="75">
        <f t="shared" ref="Q91" si="831">P91/$B91</f>
        <v>0</v>
      </c>
      <c r="R91" s="70"/>
      <c r="S91" s="75">
        <f t="shared" ref="S91" si="832">R91/$B91</f>
        <v>0</v>
      </c>
      <c r="T91" s="70">
        <v>1120</v>
      </c>
      <c r="U91" s="75">
        <f t="shared" ref="U91" si="833">T91/$B91</f>
        <v>6.7878787878787886E-2</v>
      </c>
      <c r="V91" s="70"/>
      <c r="W91" s="75">
        <f t="shared" ref="W91" si="834">V91/$B91</f>
        <v>0</v>
      </c>
      <c r="X91" s="70">
        <v>1610</v>
      </c>
      <c r="Y91" s="75">
        <f t="shared" ref="Y91" si="835">X91/$B91</f>
        <v>9.757575757575758E-2</v>
      </c>
      <c r="Z91" s="70">
        <v>1620</v>
      </c>
      <c r="AA91" s="75">
        <f t="shared" ref="AA91" si="836">Z91/$B91</f>
        <v>9.8181818181818176E-2</v>
      </c>
      <c r="AB91" s="66">
        <f t="shared" si="806"/>
        <v>4350</v>
      </c>
      <c r="AC91" s="75">
        <f t="shared" si="620"/>
        <v>0.26363636363636361</v>
      </c>
      <c r="AD91" s="66">
        <v>15000</v>
      </c>
    </row>
    <row r="92" spans="1:30" x14ac:dyDescent="0.25">
      <c r="A92" s="64" t="s">
        <v>59</v>
      </c>
      <c r="B92" s="66">
        <v>33000</v>
      </c>
      <c r="C92" s="66">
        <f t="shared" si="631"/>
        <v>2750</v>
      </c>
      <c r="D92" s="82"/>
      <c r="E92" s="75">
        <f t="shared" si="599"/>
        <v>0</v>
      </c>
      <c r="F92" s="82">
        <v>8310</v>
      </c>
      <c r="G92" s="75">
        <f t="shared" si="599"/>
        <v>0.25181818181818183</v>
      </c>
      <c r="H92" s="70"/>
      <c r="I92" s="75">
        <f t="shared" ref="I92" si="837">H92/$B92</f>
        <v>0</v>
      </c>
      <c r="J92" s="70"/>
      <c r="K92" s="75">
        <f t="shared" ref="K92" si="838">J92/$B92</f>
        <v>0</v>
      </c>
      <c r="L92" s="70"/>
      <c r="M92" s="75">
        <f t="shared" ref="M92" si="839">L92/$B92</f>
        <v>0</v>
      </c>
      <c r="N92" s="70"/>
      <c r="O92" s="75">
        <f t="shared" ref="O92" si="840">N92/$B92</f>
        <v>0</v>
      </c>
      <c r="P92" s="70"/>
      <c r="Q92" s="75">
        <f t="shared" ref="Q92" si="841">P92/$B92</f>
        <v>0</v>
      </c>
      <c r="R92" s="70"/>
      <c r="S92" s="75">
        <f t="shared" ref="S92" si="842">R92/$B92</f>
        <v>0</v>
      </c>
      <c r="T92" s="70"/>
      <c r="U92" s="75">
        <f t="shared" ref="U92" si="843">T92/$B92</f>
        <v>0</v>
      </c>
      <c r="V92" s="70"/>
      <c r="W92" s="75">
        <f t="shared" ref="W92" si="844">V92/$B92</f>
        <v>0</v>
      </c>
      <c r="X92" s="70">
        <v>576.16999999999996</v>
      </c>
      <c r="Y92" s="75">
        <f t="shared" ref="Y92" si="845">X92/$B92</f>
        <v>1.7459696969696969E-2</v>
      </c>
      <c r="Z92" s="70">
        <v>19309.43</v>
      </c>
      <c r="AA92" s="75">
        <f t="shared" ref="AA92" si="846">Z92/$B92</f>
        <v>0.58513424242424239</v>
      </c>
      <c r="AB92" s="66">
        <f t="shared" si="806"/>
        <v>28195.599999999999</v>
      </c>
      <c r="AC92" s="75">
        <f t="shared" si="620"/>
        <v>0.85441212121212118</v>
      </c>
      <c r="AD92" s="66">
        <v>33000</v>
      </c>
    </row>
    <row r="93" spans="1:30" x14ac:dyDescent="0.25">
      <c r="A93" s="64" t="s">
        <v>99</v>
      </c>
      <c r="B93" s="66">
        <v>2000</v>
      </c>
      <c r="C93" s="66">
        <f t="shared" si="631"/>
        <v>166.66666666666666</v>
      </c>
      <c r="D93" s="82"/>
      <c r="E93" s="75">
        <f t="shared" si="599"/>
        <v>0</v>
      </c>
      <c r="F93" s="82"/>
      <c r="G93" s="75">
        <f t="shared" si="599"/>
        <v>0</v>
      </c>
      <c r="H93" s="70">
        <v>557.01</v>
      </c>
      <c r="I93" s="75">
        <f t="shared" ref="I93" si="847">H93/$B93</f>
        <v>0.278505</v>
      </c>
      <c r="J93" s="70">
        <v>1100</v>
      </c>
      <c r="K93" s="75">
        <f t="shared" ref="K93" si="848">J93/$B93</f>
        <v>0.55000000000000004</v>
      </c>
      <c r="L93" s="70"/>
      <c r="M93" s="75">
        <f t="shared" ref="M93" si="849">L93/$B93</f>
        <v>0</v>
      </c>
      <c r="N93" s="70"/>
      <c r="O93" s="75">
        <f t="shared" ref="O93" si="850">N93/$B93</f>
        <v>0</v>
      </c>
      <c r="P93" s="70"/>
      <c r="Q93" s="75">
        <f t="shared" ref="Q93" si="851">P93/$B93</f>
        <v>0</v>
      </c>
      <c r="R93" s="70"/>
      <c r="S93" s="75">
        <f t="shared" ref="S93" si="852">R93/$B93</f>
        <v>0</v>
      </c>
      <c r="T93" s="70"/>
      <c r="U93" s="75">
        <f t="shared" ref="U93" si="853">T93/$B93</f>
        <v>0</v>
      </c>
      <c r="V93" s="70"/>
      <c r="W93" s="75">
        <f t="shared" ref="W93" si="854">V93/$B93</f>
        <v>0</v>
      </c>
      <c r="X93" s="70"/>
      <c r="Y93" s="75">
        <f t="shared" ref="Y93" si="855">X93/$B93</f>
        <v>0</v>
      </c>
      <c r="Z93" s="70"/>
      <c r="AA93" s="75">
        <f t="shared" ref="AA93" si="856">Z93/$B93</f>
        <v>0</v>
      </c>
      <c r="AB93" s="66">
        <f t="shared" si="806"/>
        <v>1657.01</v>
      </c>
      <c r="AC93" s="75">
        <f t="shared" si="620"/>
        <v>0.82850500000000005</v>
      </c>
      <c r="AD93" s="66">
        <v>2000</v>
      </c>
    </row>
    <row r="94" spans="1:30" x14ac:dyDescent="0.25">
      <c r="A94" s="64" t="s">
        <v>100</v>
      </c>
      <c r="B94" s="66">
        <v>3000</v>
      </c>
      <c r="C94" s="66">
        <f t="shared" si="631"/>
        <v>250</v>
      </c>
      <c r="D94" s="82"/>
      <c r="E94" s="75">
        <f t="shared" si="599"/>
        <v>0</v>
      </c>
      <c r="F94" s="82"/>
      <c r="G94" s="75">
        <f t="shared" si="599"/>
        <v>0</v>
      </c>
      <c r="H94" s="70"/>
      <c r="I94" s="75">
        <f t="shared" ref="I94" si="857">H94/$B94</f>
        <v>0</v>
      </c>
      <c r="J94" s="70"/>
      <c r="K94" s="75">
        <f t="shared" ref="K94" si="858">J94/$B94</f>
        <v>0</v>
      </c>
      <c r="L94" s="70"/>
      <c r="M94" s="75">
        <f t="shared" ref="M94" si="859">L94/$B94</f>
        <v>0</v>
      </c>
      <c r="N94" s="70"/>
      <c r="O94" s="75">
        <f t="shared" ref="O94" si="860">N94/$B94</f>
        <v>0</v>
      </c>
      <c r="P94" s="70"/>
      <c r="Q94" s="75">
        <f t="shared" ref="Q94" si="861">P94/$B94</f>
        <v>0</v>
      </c>
      <c r="R94" s="70"/>
      <c r="S94" s="75">
        <f t="shared" ref="S94" si="862">R94/$B94</f>
        <v>0</v>
      </c>
      <c r="T94" s="70">
        <v>599.51</v>
      </c>
      <c r="U94" s="75">
        <f t="shared" ref="U94" si="863">T94/$B94</f>
        <v>0.19983666666666666</v>
      </c>
      <c r="V94" s="70">
        <v>599.49</v>
      </c>
      <c r="W94" s="75">
        <f t="shared" ref="W94" si="864">V94/$B94</f>
        <v>0.19983000000000001</v>
      </c>
      <c r="X94" s="70"/>
      <c r="Y94" s="75">
        <f t="shared" ref="Y94" si="865">X94/$B94</f>
        <v>0</v>
      </c>
      <c r="Z94" s="70"/>
      <c r="AA94" s="75">
        <f t="shared" ref="AA94" si="866">Z94/$B94</f>
        <v>0</v>
      </c>
      <c r="AB94" s="66">
        <f t="shared" si="806"/>
        <v>1199</v>
      </c>
      <c r="AC94" s="75">
        <f t="shared" si="620"/>
        <v>0.39966666666666667</v>
      </c>
      <c r="AD94" s="66">
        <v>2000</v>
      </c>
    </row>
    <row r="95" spans="1:30" x14ac:dyDescent="0.25">
      <c r="A95" s="47" t="s">
        <v>101</v>
      </c>
      <c r="B95" s="66">
        <v>1500</v>
      </c>
      <c r="C95" s="66">
        <f t="shared" si="631"/>
        <v>125</v>
      </c>
      <c r="D95" s="82">
        <v>1390</v>
      </c>
      <c r="E95" s="75">
        <f t="shared" si="599"/>
        <v>0.92666666666666664</v>
      </c>
      <c r="F95" s="82"/>
      <c r="G95" s="76">
        <f t="shared" si="599"/>
        <v>0</v>
      </c>
      <c r="H95" s="70"/>
      <c r="I95" s="76">
        <f t="shared" ref="I95" si="867">H95/$B95</f>
        <v>0</v>
      </c>
      <c r="J95" s="70"/>
      <c r="K95" s="76">
        <f t="shared" ref="K95" si="868">J95/$B95</f>
        <v>0</v>
      </c>
      <c r="L95" s="70"/>
      <c r="M95" s="76">
        <f t="shared" ref="M95" si="869">L95/$B95</f>
        <v>0</v>
      </c>
      <c r="N95" s="70"/>
      <c r="O95" s="76">
        <f t="shared" ref="O95" si="870">N95/$B95</f>
        <v>0</v>
      </c>
      <c r="P95" s="70"/>
      <c r="Q95" s="76">
        <f t="shared" ref="Q95" si="871">P95/$B95</f>
        <v>0</v>
      </c>
      <c r="R95" s="70"/>
      <c r="S95" s="76">
        <f t="shared" ref="S95" si="872">R95/$B95</f>
        <v>0</v>
      </c>
      <c r="T95" s="70"/>
      <c r="U95" s="76">
        <f t="shared" ref="U95" si="873">T95/$B95</f>
        <v>0</v>
      </c>
      <c r="V95" s="70"/>
      <c r="W95" s="76">
        <f t="shared" ref="W95" si="874">V95/$B95</f>
        <v>0</v>
      </c>
      <c r="X95" s="70"/>
      <c r="Y95" s="76">
        <f t="shared" ref="Y95" si="875">X95/$B95</f>
        <v>0</v>
      </c>
      <c r="Z95" s="70"/>
      <c r="AA95" s="76">
        <f t="shared" ref="AA95" si="876">Z95/$B95</f>
        <v>0</v>
      </c>
      <c r="AB95" s="66">
        <f t="shared" si="806"/>
        <v>1390</v>
      </c>
      <c r="AC95" s="76">
        <f t="shared" si="620"/>
        <v>0.92666666666666664</v>
      </c>
      <c r="AD95" s="66">
        <v>1500</v>
      </c>
    </row>
    <row r="96" spans="1:30" x14ac:dyDescent="0.25">
      <c r="A96" s="47" t="s">
        <v>102</v>
      </c>
      <c r="B96" s="66">
        <v>2000</v>
      </c>
      <c r="C96" s="66">
        <f t="shared" si="631"/>
        <v>166.66666666666666</v>
      </c>
      <c r="D96" s="82"/>
      <c r="E96" s="75">
        <f t="shared" si="599"/>
        <v>0</v>
      </c>
      <c r="F96" s="82"/>
      <c r="G96" s="76">
        <f t="shared" si="599"/>
        <v>0</v>
      </c>
      <c r="H96" s="70"/>
      <c r="I96" s="76">
        <f t="shared" ref="I96" si="877">H96/$B96</f>
        <v>0</v>
      </c>
      <c r="J96" s="70">
        <v>1000</v>
      </c>
      <c r="K96" s="76">
        <f t="shared" ref="K96" si="878">J96/$B96</f>
        <v>0.5</v>
      </c>
      <c r="L96" s="70">
        <v>198.9</v>
      </c>
      <c r="M96" s="76">
        <f t="shared" ref="M96" si="879">L96/$B96</f>
        <v>9.9449999999999997E-2</v>
      </c>
      <c r="N96" s="70"/>
      <c r="O96" s="76">
        <f t="shared" ref="O96" si="880">N96/$B96</f>
        <v>0</v>
      </c>
      <c r="P96" s="70"/>
      <c r="Q96" s="76">
        <f t="shared" ref="Q96" si="881">P96/$B96</f>
        <v>0</v>
      </c>
      <c r="R96" s="70"/>
      <c r="S96" s="76">
        <f t="shared" ref="S96" si="882">R96/$B96</f>
        <v>0</v>
      </c>
      <c r="T96" s="70"/>
      <c r="U96" s="76">
        <f t="shared" ref="U96" si="883">T96/$B96</f>
        <v>0</v>
      </c>
      <c r="V96" s="70"/>
      <c r="W96" s="76">
        <f t="shared" ref="W96" si="884">V96/$B96</f>
        <v>0</v>
      </c>
      <c r="X96" s="70"/>
      <c r="Y96" s="76">
        <f t="shared" ref="Y96" si="885">X96/$B96</f>
        <v>0</v>
      </c>
      <c r="Z96" s="70"/>
      <c r="AA96" s="76">
        <f t="shared" ref="AA96" si="886">Z96/$B96</f>
        <v>0</v>
      </c>
      <c r="AB96" s="66">
        <f t="shared" si="806"/>
        <v>1198.9000000000001</v>
      </c>
      <c r="AC96" s="76">
        <f t="shared" si="620"/>
        <v>0.59945000000000004</v>
      </c>
      <c r="AD96" s="66">
        <v>2000</v>
      </c>
    </row>
    <row r="97" spans="1:30" x14ac:dyDescent="0.25">
      <c r="A97" s="47" t="s">
        <v>103</v>
      </c>
      <c r="B97" s="66">
        <v>2000</v>
      </c>
      <c r="C97" s="66">
        <f t="shared" si="631"/>
        <v>166.66666666666666</v>
      </c>
      <c r="D97" s="82"/>
      <c r="E97" s="75">
        <f t="shared" si="599"/>
        <v>0</v>
      </c>
      <c r="F97" s="82"/>
      <c r="G97" s="76">
        <f t="shared" si="599"/>
        <v>0</v>
      </c>
      <c r="H97" s="70"/>
      <c r="I97" s="76">
        <f t="shared" ref="I97" si="887">H97/$B97</f>
        <v>0</v>
      </c>
      <c r="J97" s="70"/>
      <c r="K97" s="76">
        <f t="shared" ref="K97" si="888">J97/$B97</f>
        <v>0</v>
      </c>
      <c r="L97" s="70"/>
      <c r="M97" s="76">
        <f t="shared" ref="M97" si="889">L97/$B97</f>
        <v>0</v>
      </c>
      <c r="N97" s="70"/>
      <c r="O97" s="76">
        <f t="shared" ref="O97" si="890">N97/$B97</f>
        <v>0</v>
      </c>
      <c r="P97" s="70">
        <v>640</v>
      </c>
      <c r="Q97" s="76">
        <f t="shared" ref="Q97" si="891">P97/$B97</f>
        <v>0.32</v>
      </c>
      <c r="R97" s="70">
        <v>107</v>
      </c>
      <c r="S97" s="76">
        <f t="shared" ref="S97" si="892">R97/$B97</f>
        <v>5.3499999999999999E-2</v>
      </c>
      <c r="T97" s="70"/>
      <c r="U97" s="76">
        <f t="shared" ref="U97" si="893">T97/$B97</f>
        <v>0</v>
      </c>
      <c r="V97" s="70"/>
      <c r="W97" s="76">
        <f t="shared" ref="W97" si="894">V97/$B97</f>
        <v>0</v>
      </c>
      <c r="X97" s="70"/>
      <c r="Y97" s="76">
        <f t="shared" ref="Y97" si="895">X97/$B97</f>
        <v>0</v>
      </c>
      <c r="Z97" s="70"/>
      <c r="AA97" s="76">
        <f t="shared" ref="AA97" si="896">Z97/$B97</f>
        <v>0</v>
      </c>
      <c r="AB97" s="66">
        <f t="shared" si="806"/>
        <v>747</v>
      </c>
      <c r="AC97" s="76">
        <f t="shared" si="620"/>
        <v>0.3735</v>
      </c>
      <c r="AD97" s="66">
        <v>2000</v>
      </c>
    </row>
    <row r="98" spans="1:30" x14ac:dyDescent="0.25">
      <c r="A98" s="64" t="s">
        <v>104</v>
      </c>
      <c r="B98" s="66">
        <v>5000</v>
      </c>
      <c r="C98" s="66">
        <f t="shared" si="631"/>
        <v>416.66666666666669</v>
      </c>
      <c r="D98" s="82"/>
      <c r="E98" s="75">
        <f t="shared" si="599"/>
        <v>0</v>
      </c>
      <c r="F98" s="82"/>
      <c r="G98" s="75">
        <f t="shared" si="599"/>
        <v>0</v>
      </c>
      <c r="H98" s="70"/>
      <c r="I98" s="75">
        <f t="shared" ref="I98" si="897">H98/$B98</f>
        <v>0</v>
      </c>
      <c r="J98" s="70"/>
      <c r="K98" s="75">
        <f t="shared" ref="K98" si="898">J98/$B98</f>
        <v>0</v>
      </c>
      <c r="L98" s="70"/>
      <c r="M98" s="75">
        <f t="shared" ref="M98" si="899">L98/$B98</f>
        <v>0</v>
      </c>
      <c r="N98" s="70"/>
      <c r="O98" s="75">
        <f t="shared" ref="O98" si="900">N98/$B98</f>
        <v>0</v>
      </c>
      <c r="P98" s="70"/>
      <c r="Q98" s="75">
        <f t="shared" ref="Q98" si="901">P98/$B98</f>
        <v>0</v>
      </c>
      <c r="R98" s="70"/>
      <c r="S98" s="75">
        <f t="shared" ref="S98" si="902">R98/$B98</f>
        <v>0</v>
      </c>
      <c r="T98" s="70"/>
      <c r="U98" s="75">
        <f t="shared" ref="U98" si="903">T98/$B98</f>
        <v>0</v>
      </c>
      <c r="V98" s="70"/>
      <c r="W98" s="75">
        <f t="shared" ref="W98" si="904">V98/$B98</f>
        <v>0</v>
      </c>
      <c r="X98" s="70">
        <v>2694.57</v>
      </c>
      <c r="Y98" s="75">
        <f t="shared" ref="Y98" si="905">X98/$B98</f>
        <v>0.538914</v>
      </c>
      <c r="Z98" s="70">
        <v>6276.78</v>
      </c>
      <c r="AA98" s="75">
        <f t="shared" ref="AA98" si="906">Z98/$B98</f>
        <v>1.2553559999999999</v>
      </c>
      <c r="AB98" s="66">
        <f t="shared" si="806"/>
        <v>8971.35</v>
      </c>
      <c r="AC98" s="75">
        <f t="shared" si="620"/>
        <v>1.79427</v>
      </c>
      <c r="AD98" s="66">
        <v>5000</v>
      </c>
    </row>
    <row r="99" spans="1:30" x14ac:dyDescent="0.25">
      <c r="A99" s="47" t="s">
        <v>151</v>
      </c>
      <c r="B99" s="66">
        <v>5000</v>
      </c>
      <c r="C99" s="66">
        <f t="shared" si="631"/>
        <v>416.66666666666669</v>
      </c>
      <c r="D99" s="82"/>
      <c r="E99" s="75">
        <f t="shared" si="599"/>
        <v>0</v>
      </c>
      <c r="F99" s="82"/>
      <c r="G99" s="76">
        <f t="shared" si="599"/>
        <v>0</v>
      </c>
      <c r="H99" s="70"/>
      <c r="I99" s="76">
        <f t="shared" ref="I99" si="907">H99/$B99</f>
        <v>0</v>
      </c>
      <c r="J99" s="70"/>
      <c r="K99" s="76">
        <f t="shared" ref="K99" si="908">J99/$B99</f>
        <v>0</v>
      </c>
      <c r="L99" s="70"/>
      <c r="M99" s="76">
        <f t="shared" ref="M99" si="909">L99/$B99</f>
        <v>0</v>
      </c>
      <c r="N99" s="70"/>
      <c r="O99" s="76">
        <f t="shared" ref="O99" si="910">N99/$B99</f>
        <v>0</v>
      </c>
      <c r="P99" s="70"/>
      <c r="Q99" s="76">
        <f t="shared" ref="Q99" si="911">P99/$B99</f>
        <v>0</v>
      </c>
      <c r="R99" s="70"/>
      <c r="S99" s="76">
        <f t="shared" ref="S99" si="912">R99/$B99</f>
        <v>0</v>
      </c>
      <c r="T99" s="70">
        <v>900</v>
      </c>
      <c r="U99" s="76">
        <f t="shared" ref="U99" si="913">T99/$B99</f>
        <v>0.18</v>
      </c>
      <c r="V99" s="70"/>
      <c r="W99" s="76">
        <f t="shared" ref="W99" si="914">V99/$B99</f>
        <v>0</v>
      </c>
      <c r="X99" s="70"/>
      <c r="Y99" s="76">
        <f t="shared" ref="Y99" si="915">X99/$B99</f>
        <v>0</v>
      </c>
      <c r="Z99" s="70"/>
      <c r="AA99" s="76">
        <f t="shared" ref="AA99" si="916">Z99/$B99</f>
        <v>0</v>
      </c>
      <c r="AB99" s="66">
        <f t="shared" si="806"/>
        <v>900</v>
      </c>
      <c r="AC99" s="76">
        <f t="shared" si="620"/>
        <v>0.18</v>
      </c>
      <c r="AD99" s="66">
        <v>2000</v>
      </c>
    </row>
    <row r="100" spans="1:30" x14ac:dyDescent="0.25">
      <c r="A100" s="47" t="s">
        <v>61</v>
      </c>
      <c r="B100" s="66">
        <v>40000</v>
      </c>
      <c r="C100" s="66">
        <f t="shared" si="631"/>
        <v>3333.3333333333335</v>
      </c>
      <c r="D100" s="82"/>
      <c r="E100" s="75">
        <f t="shared" si="599"/>
        <v>0</v>
      </c>
      <c r="F100" s="82"/>
      <c r="G100" s="76">
        <f t="shared" si="599"/>
        <v>0</v>
      </c>
      <c r="H100" s="70">
        <v>13175.1</v>
      </c>
      <c r="I100" s="76">
        <f t="shared" ref="I100" si="917">H100/$B100</f>
        <v>0.32937749999999999</v>
      </c>
      <c r="J100" s="70">
        <v>3741.73</v>
      </c>
      <c r="K100" s="76">
        <f t="shared" ref="K100" si="918">J100/$B100</f>
        <v>9.3543249999999994E-2</v>
      </c>
      <c r="L100" s="70"/>
      <c r="M100" s="76">
        <f t="shared" ref="M100" si="919">L100/$B100</f>
        <v>0</v>
      </c>
      <c r="N100" s="70"/>
      <c r="O100" s="76">
        <f t="shared" ref="O100" si="920">N100/$B100</f>
        <v>0</v>
      </c>
      <c r="P100" s="70"/>
      <c r="Q100" s="76">
        <f t="shared" ref="Q100" si="921">P100/$B100</f>
        <v>0</v>
      </c>
      <c r="R100" s="70"/>
      <c r="S100" s="76">
        <f t="shared" ref="S100" si="922">R100/$B100</f>
        <v>0</v>
      </c>
      <c r="T100" s="70"/>
      <c r="U100" s="76">
        <f t="shared" ref="U100" si="923">T100/$B100</f>
        <v>0</v>
      </c>
      <c r="V100" s="70"/>
      <c r="W100" s="76">
        <f t="shared" ref="W100" si="924">V100/$B100</f>
        <v>0</v>
      </c>
      <c r="X100" s="70"/>
      <c r="Y100" s="76">
        <f t="shared" ref="Y100" si="925">X100/$B100</f>
        <v>0</v>
      </c>
      <c r="Z100" s="70"/>
      <c r="AA100" s="76">
        <f t="shared" ref="AA100" si="926">Z100/$B100</f>
        <v>0</v>
      </c>
      <c r="AB100" s="66">
        <f t="shared" si="806"/>
        <v>16916.830000000002</v>
      </c>
      <c r="AC100" s="76">
        <f t="shared" si="620"/>
        <v>0.42292075000000007</v>
      </c>
      <c r="AD100" s="66">
        <v>18000</v>
      </c>
    </row>
    <row r="101" spans="1:30" x14ac:dyDescent="0.25">
      <c r="A101" s="46" t="s">
        <v>62</v>
      </c>
      <c r="B101" s="38">
        <v>96846.117500000008</v>
      </c>
      <c r="C101" s="38">
        <f t="shared" si="631"/>
        <v>8070.5097916666673</v>
      </c>
      <c r="D101" s="38">
        <f>SUM(D102:D106)</f>
        <v>8266.07</v>
      </c>
      <c r="E101" s="78">
        <f t="shared" si="599"/>
        <v>8.5352621389288008E-2</v>
      </c>
      <c r="F101" s="38">
        <f>SUM(F102:F106)</f>
        <v>8321.19</v>
      </c>
      <c r="G101" s="78">
        <f t="shared" si="599"/>
        <v>8.5921771722031082E-2</v>
      </c>
      <c r="H101" s="38">
        <f>SUM(H102:H106)</f>
        <v>9025.5499999999993</v>
      </c>
      <c r="I101" s="78">
        <f t="shared" ref="I101" si="927">H101/$B101</f>
        <v>9.3194753005973616E-2</v>
      </c>
      <c r="J101" s="38">
        <f>SUM(J102:J106)</f>
        <v>8376.5400000000009</v>
      </c>
      <c r="K101" s="78">
        <f t="shared" ref="K101" si="928">J101/$B101</f>
        <v>8.6493296956380319E-2</v>
      </c>
      <c r="L101" s="38">
        <f>SUM(L102:L106)</f>
        <v>11256.54</v>
      </c>
      <c r="M101" s="78">
        <f t="shared" ref="M101" si="929">L101/$B101</f>
        <v>0.11623119532902287</v>
      </c>
      <c r="N101" s="38">
        <f>SUM(N102:N106)</f>
        <v>9020.630000000001</v>
      </c>
      <c r="O101" s="78">
        <f t="shared" ref="O101" si="930">N101/$B101</f>
        <v>9.3143950762920369E-2</v>
      </c>
      <c r="P101" s="38">
        <f>SUM(P102:P106)</f>
        <v>8256.5400000000009</v>
      </c>
      <c r="Q101" s="78">
        <f t="shared" ref="Q101" si="931">P101/$B101</f>
        <v>8.5254217857520201E-2</v>
      </c>
      <c r="R101" s="38">
        <f>SUM(R102:R106)</f>
        <v>9140.14</v>
      </c>
      <c r="S101" s="78">
        <f t="shared" ref="S101" si="932">R101/$B101</f>
        <v>9.4377970288793439E-2</v>
      </c>
      <c r="T101" s="38">
        <f>SUM(T102:T106)</f>
        <v>8973.84</v>
      </c>
      <c r="U101" s="78">
        <f t="shared" ref="U101" si="933">T101/$B101</f>
        <v>9.266081317095648E-2</v>
      </c>
      <c r="V101" s="38">
        <f>SUM(V102:V106)</f>
        <v>8376.5400000000009</v>
      </c>
      <c r="W101" s="78">
        <f t="shared" ref="W101" si="934">V101/$B101</f>
        <v>8.6493296956380319E-2</v>
      </c>
      <c r="X101" s="38">
        <f>SUM(X102:X106)</f>
        <v>8256.5400000000009</v>
      </c>
      <c r="Y101" s="78">
        <f t="shared" ref="Y101" si="935">X101/$B101</f>
        <v>8.5254217857520201E-2</v>
      </c>
      <c r="Z101" s="38">
        <f>SUM(Z102:Z106)</f>
        <v>8931.64</v>
      </c>
      <c r="AA101" s="78">
        <f t="shared" ref="AA101" si="936">Z101/$B101</f>
        <v>9.2225070354524014E-2</v>
      </c>
      <c r="AB101" s="38">
        <f t="shared" ref="AB101" si="937">SUM(AB102:AB106)</f>
        <v>106201.76000000001</v>
      </c>
      <c r="AC101" s="78">
        <f t="shared" si="620"/>
        <v>1.096603175651311</v>
      </c>
      <c r="AD101" s="38">
        <f>SUM(AD102:AD106)</f>
        <v>147974.45226666669</v>
      </c>
    </row>
    <row r="102" spans="1:30" x14ac:dyDescent="0.25">
      <c r="A102" s="49" t="s">
        <v>107</v>
      </c>
      <c r="B102" s="66">
        <v>7765.9575000000004</v>
      </c>
      <c r="C102" s="66">
        <f t="shared" si="631"/>
        <v>647.16312500000004</v>
      </c>
      <c r="D102" s="82">
        <v>810.07</v>
      </c>
      <c r="E102" s="75">
        <f t="shared" si="599"/>
        <v>0.10431038284718916</v>
      </c>
      <c r="F102" s="82">
        <v>745.19</v>
      </c>
      <c r="G102" s="76">
        <f t="shared" si="599"/>
        <v>9.5955971945507049E-2</v>
      </c>
      <c r="H102" s="70">
        <v>769.01</v>
      </c>
      <c r="I102" s="76">
        <f t="shared" ref="I102" si="938">H102/$B102</f>
        <v>9.9023204801210921E-2</v>
      </c>
      <c r="J102" s="70"/>
      <c r="K102" s="76">
        <f t="shared" ref="K102" si="939">J102/$B102</f>
        <v>0</v>
      </c>
      <c r="L102" s="70"/>
      <c r="M102" s="76">
        <f t="shared" ref="M102" si="940">L102/$B102</f>
        <v>0</v>
      </c>
      <c r="N102" s="70">
        <v>644.09</v>
      </c>
      <c r="O102" s="76">
        <f t="shared" ref="O102" si="941">N102/$B102</f>
        <v>8.2937615870290304E-2</v>
      </c>
      <c r="P102" s="70"/>
      <c r="Q102" s="76">
        <f t="shared" ref="Q102" si="942">P102/$B102</f>
        <v>0</v>
      </c>
      <c r="R102" s="70">
        <v>763.6</v>
      </c>
      <c r="S102" s="76">
        <f t="shared" ref="S102" si="943">R102/$B102</f>
        <v>9.8326574668996067E-2</v>
      </c>
      <c r="T102" s="70">
        <v>717.3</v>
      </c>
      <c r="U102" s="76">
        <f t="shared" ref="U102" si="944">T102/$B102</f>
        <v>9.2364656901611927E-2</v>
      </c>
      <c r="V102" s="70">
        <v>0</v>
      </c>
      <c r="W102" s="76">
        <f t="shared" ref="W102" si="945">V102/$B102</f>
        <v>0</v>
      </c>
      <c r="X102" s="70"/>
      <c r="Y102" s="76">
        <f t="shared" ref="Y102" si="946">X102/$B102</f>
        <v>0</v>
      </c>
      <c r="Z102" s="70">
        <v>555.1</v>
      </c>
      <c r="AA102" s="76">
        <f t="shared" ref="AA102" si="947">Z102/$B102</f>
        <v>7.1478629647406644E-2</v>
      </c>
      <c r="AB102" s="66">
        <f t="shared" ref="AB102:AB106" si="948">D102+F102+H102+J102+L102+N102+P102+R102+T102+V102+X102+Z102</f>
        <v>5004.3600000000006</v>
      </c>
      <c r="AC102" s="76">
        <f t="shared" si="620"/>
        <v>0.64439703668221215</v>
      </c>
      <c r="AD102" s="66">
        <f t="shared" ref="AD102:AD106" si="949">((AB102/9)*$AE$3)*12</f>
        <v>6972.7416000000012</v>
      </c>
    </row>
    <row r="103" spans="1:30" x14ac:dyDescent="0.25">
      <c r="A103" s="49" t="s">
        <v>63</v>
      </c>
      <c r="B103" s="66">
        <v>12720</v>
      </c>
      <c r="C103" s="66">
        <f t="shared" si="631"/>
        <v>1060</v>
      </c>
      <c r="D103" s="82">
        <v>1000</v>
      </c>
      <c r="E103" s="75">
        <f t="shared" si="599"/>
        <v>7.8616352201257858E-2</v>
      </c>
      <c r="F103" s="82">
        <v>1000</v>
      </c>
      <c r="G103" s="76">
        <f t="shared" si="599"/>
        <v>7.8616352201257858E-2</v>
      </c>
      <c r="H103" s="70">
        <v>1000</v>
      </c>
      <c r="I103" s="76">
        <f t="shared" ref="I103" si="950">H103/$B103</f>
        <v>7.8616352201257858E-2</v>
      </c>
      <c r="J103" s="70">
        <v>1000</v>
      </c>
      <c r="K103" s="76">
        <f t="shared" ref="K103" si="951">J103/$B103</f>
        <v>7.8616352201257858E-2</v>
      </c>
      <c r="L103" s="70">
        <v>1000</v>
      </c>
      <c r="M103" s="76">
        <f t="shared" ref="M103" si="952">L103/$B103</f>
        <v>7.8616352201257858E-2</v>
      </c>
      <c r="N103" s="70">
        <v>1000</v>
      </c>
      <c r="O103" s="76">
        <f t="shared" ref="O103" si="953">N103/$B103</f>
        <v>7.8616352201257858E-2</v>
      </c>
      <c r="P103" s="70">
        <v>1000</v>
      </c>
      <c r="Q103" s="76">
        <f t="shared" ref="Q103" si="954">P103/$B103</f>
        <v>7.8616352201257858E-2</v>
      </c>
      <c r="R103" s="70">
        <v>1000</v>
      </c>
      <c r="S103" s="76">
        <f t="shared" ref="S103" si="955">R103/$B103</f>
        <v>7.8616352201257858E-2</v>
      </c>
      <c r="T103" s="70">
        <v>1000</v>
      </c>
      <c r="U103" s="76">
        <f t="shared" ref="U103" si="956">T103/$B103</f>
        <v>7.8616352201257858E-2</v>
      </c>
      <c r="V103" s="70">
        <v>1000</v>
      </c>
      <c r="W103" s="76">
        <f t="shared" ref="W103" si="957">V103/$B103</f>
        <v>7.8616352201257858E-2</v>
      </c>
      <c r="X103" s="70">
        <v>1000</v>
      </c>
      <c r="Y103" s="76">
        <f t="shared" ref="Y103" si="958">X103/$B103</f>
        <v>7.8616352201257858E-2</v>
      </c>
      <c r="Z103" s="70">
        <v>1000</v>
      </c>
      <c r="AA103" s="76">
        <f t="shared" ref="AA103" si="959">Z103/$B103</f>
        <v>7.8616352201257858E-2</v>
      </c>
      <c r="AB103" s="66">
        <f t="shared" si="948"/>
        <v>12000</v>
      </c>
      <c r="AC103" s="76">
        <f t="shared" si="620"/>
        <v>0.94339622641509435</v>
      </c>
      <c r="AD103" s="66">
        <f t="shared" si="949"/>
        <v>16720</v>
      </c>
    </row>
    <row r="104" spans="1:30" x14ac:dyDescent="0.25">
      <c r="A104" s="49" t="s">
        <v>64</v>
      </c>
      <c r="B104" s="66">
        <v>53449.440000000002</v>
      </c>
      <c r="C104" s="66">
        <f t="shared" si="631"/>
        <v>4454.12</v>
      </c>
      <c r="D104" s="82">
        <v>4554</v>
      </c>
      <c r="E104" s="75">
        <f t="shared" si="599"/>
        <v>8.5202015212881552E-2</v>
      </c>
      <c r="F104" s="82">
        <v>4554</v>
      </c>
      <c r="G104" s="76">
        <f t="shared" si="599"/>
        <v>8.5202015212881552E-2</v>
      </c>
      <c r="H104" s="70">
        <v>4554</v>
      </c>
      <c r="I104" s="76">
        <f t="shared" ref="I104" si="960">H104/$B104</f>
        <v>8.5202015212881552E-2</v>
      </c>
      <c r="J104" s="70">
        <v>4554</v>
      </c>
      <c r="K104" s="76">
        <f t="shared" ref="K104" si="961">J104/$B104</f>
        <v>8.5202015212881552E-2</v>
      </c>
      <c r="L104" s="70">
        <v>4554</v>
      </c>
      <c r="M104" s="76">
        <f t="shared" ref="M104" si="962">L104/$B104</f>
        <v>8.5202015212881552E-2</v>
      </c>
      <c r="N104" s="70">
        <v>4554</v>
      </c>
      <c r="O104" s="76">
        <f t="shared" ref="O104" si="963">N104/$B104</f>
        <v>8.5202015212881552E-2</v>
      </c>
      <c r="P104" s="70">
        <v>4554</v>
      </c>
      <c r="Q104" s="76">
        <f t="shared" ref="Q104" si="964">P104/$B104</f>
        <v>8.5202015212881552E-2</v>
      </c>
      <c r="R104" s="70">
        <v>4554</v>
      </c>
      <c r="S104" s="76">
        <f t="shared" ref="S104" si="965">R104/$B104</f>
        <v>8.5202015212881552E-2</v>
      </c>
      <c r="T104" s="70">
        <v>4554</v>
      </c>
      <c r="U104" s="76">
        <f t="shared" ref="U104" si="966">T104/$B104</f>
        <v>8.5202015212881552E-2</v>
      </c>
      <c r="V104" s="70">
        <v>4554</v>
      </c>
      <c r="W104" s="76">
        <f t="shared" ref="W104" si="967">V104/$B104</f>
        <v>8.5202015212881552E-2</v>
      </c>
      <c r="X104" s="70">
        <v>4554</v>
      </c>
      <c r="Y104" s="76">
        <f t="shared" ref="Y104" si="968">X104/$B104</f>
        <v>8.5202015212881552E-2</v>
      </c>
      <c r="Z104" s="70">
        <v>4554</v>
      </c>
      <c r="AA104" s="76">
        <f t="shared" ref="AA104" si="969">Z104/$B104</f>
        <v>8.5202015212881552E-2</v>
      </c>
      <c r="AB104" s="66">
        <f t="shared" si="948"/>
        <v>54648</v>
      </c>
      <c r="AC104" s="76">
        <f t="shared" si="620"/>
        <v>1.0224241825545786</v>
      </c>
      <c r="AD104" s="66">
        <f t="shared" si="949"/>
        <v>76142.880000000005</v>
      </c>
    </row>
    <row r="105" spans="1:30" x14ac:dyDescent="0.25">
      <c r="A105" s="49" t="s">
        <v>65</v>
      </c>
      <c r="B105" s="66">
        <v>19410.72</v>
      </c>
      <c r="C105" s="66">
        <f t="shared" si="631"/>
        <v>1617.5600000000002</v>
      </c>
      <c r="D105" s="82">
        <v>1652</v>
      </c>
      <c r="E105" s="75">
        <f t="shared" si="599"/>
        <v>8.5107610639893833E-2</v>
      </c>
      <c r="F105" s="82">
        <v>1652</v>
      </c>
      <c r="G105" s="76">
        <f t="shared" si="599"/>
        <v>8.5107610639893833E-2</v>
      </c>
      <c r="H105" s="70">
        <v>1652</v>
      </c>
      <c r="I105" s="76">
        <f t="shared" ref="I105" si="970">H105/$B105</f>
        <v>8.5107610639893833E-2</v>
      </c>
      <c r="J105" s="70">
        <v>1652</v>
      </c>
      <c r="K105" s="76">
        <f t="shared" ref="K105" si="971">J105/$B105</f>
        <v>8.5107610639893833E-2</v>
      </c>
      <c r="L105" s="70">
        <v>1652</v>
      </c>
      <c r="M105" s="76">
        <f t="shared" ref="M105" si="972">L105/$B105</f>
        <v>8.5107610639893833E-2</v>
      </c>
      <c r="N105" s="70">
        <v>1652</v>
      </c>
      <c r="O105" s="76">
        <f t="shared" ref="O105" si="973">N105/$B105</f>
        <v>8.5107610639893833E-2</v>
      </c>
      <c r="P105" s="70">
        <v>1652</v>
      </c>
      <c r="Q105" s="76">
        <f t="shared" ref="Q105" si="974">P105/$B105</f>
        <v>8.5107610639893833E-2</v>
      </c>
      <c r="R105" s="70">
        <v>1652</v>
      </c>
      <c r="S105" s="76">
        <f t="shared" ref="S105" si="975">R105/$B105</f>
        <v>8.5107610639893833E-2</v>
      </c>
      <c r="T105" s="70">
        <v>1652</v>
      </c>
      <c r="U105" s="76">
        <f t="shared" ref="U105" si="976">T105/$B105</f>
        <v>8.5107610639893833E-2</v>
      </c>
      <c r="V105" s="70">
        <v>1652</v>
      </c>
      <c r="W105" s="76">
        <f t="shared" ref="W105" si="977">V105/$B105</f>
        <v>8.5107610639893833E-2</v>
      </c>
      <c r="X105" s="70">
        <v>1652</v>
      </c>
      <c r="Y105" s="76">
        <f t="shared" ref="Y105" si="978">X105/$B105</f>
        <v>8.5107610639893833E-2</v>
      </c>
      <c r="Z105" s="70">
        <v>1652</v>
      </c>
      <c r="AA105" s="76">
        <f t="shared" ref="AA105" si="979">Z105/$B105</f>
        <v>8.5107610639893833E-2</v>
      </c>
      <c r="AB105" s="66">
        <f t="shared" si="948"/>
        <v>19824</v>
      </c>
      <c r="AC105" s="76">
        <f t="shared" si="620"/>
        <v>1.0212913276787259</v>
      </c>
      <c r="AD105" s="66">
        <f t="shared" si="949"/>
        <v>27621.439999999995</v>
      </c>
    </row>
    <row r="106" spans="1:30" ht="30" x14ac:dyDescent="0.25">
      <c r="A106" s="49" t="s">
        <v>182</v>
      </c>
      <c r="B106" s="67">
        <v>3500</v>
      </c>
      <c r="C106" s="67">
        <f t="shared" si="631"/>
        <v>291.66666666666669</v>
      </c>
      <c r="D106" s="82">
        <f>250</f>
        <v>250</v>
      </c>
      <c r="E106" s="75">
        <f t="shared" si="599"/>
        <v>7.1428571428571425E-2</v>
      </c>
      <c r="F106" s="82">
        <f>250+120</f>
        <v>370</v>
      </c>
      <c r="G106" s="76">
        <f t="shared" si="599"/>
        <v>0.10571428571428572</v>
      </c>
      <c r="H106" s="70">
        <f>800.54+250</f>
        <v>1050.54</v>
      </c>
      <c r="I106" s="76">
        <f t="shared" ref="I106" si="980">H106/$B106</f>
        <v>0.30015428571428571</v>
      </c>
      <c r="J106" s="70">
        <f>800.54+250+120</f>
        <v>1170.54</v>
      </c>
      <c r="K106" s="76">
        <f t="shared" ref="K106" si="981">J106/$B106</f>
        <v>0.33444000000000002</v>
      </c>
      <c r="L106" s="70">
        <f>800.54+3000+250</f>
        <v>4050.54</v>
      </c>
      <c r="M106" s="76">
        <f t="shared" ref="M106" si="982">L106/$B106</f>
        <v>1.1572971428571428</v>
      </c>
      <c r="N106" s="70">
        <f>800.54+250+120</f>
        <v>1170.54</v>
      </c>
      <c r="O106" s="76">
        <f t="shared" ref="O106" si="983">N106/$B106</f>
        <v>0.33444000000000002</v>
      </c>
      <c r="P106" s="70">
        <f>800.54+250</f>
        <v>1050.54</v>
      </c>
      <c r="Q106" s="76">
        <f t="shared" ref="Q106" si="984">P106/$B106</f>
        <v>0.30015428571428571</v>
      </c>
      <c r="R106" s="70">
        <f>800.54+250+120</f>
        <v>1170.54</v>
      </c>
      <c r="S106" s="76">
        <f t="shared" ref="S106" si="985">R106/$B106</f>
        <v>0.33444000000000002</v>
      </c>
      <c r="T106" s="70">
        <f>800.54+250</f>
        <v>1050.54</v>
      </c>
      <c r="U106" s="76">
        <f t="shared" ref="U106" si="986">T106/$B106</f>
        <v>0.30015428571428571</v>
      </c>
      <c r="V106" s="70">
        <f>800.54+250+120</f>
        <v>1170.54</v>
      </c>
      <c r="W106" s="76">
        <f t="shared" ref="W106" si="987">V106/$B106</f>
        <v>0.33444000000000002</v>
      </c>
      <c r="X106" s="70">
        <f>800.54+250</f>
        <v>1050.54</v>
      </c>
      <c r="Y106" s="76">
        <f t="shared" ref="Y106" si="988">X106/$B106</f>
        <v>0.30015428571428571</v>
      </c>
      <c r="Z106" s="70">
        <f>800.54+250+120</f>
        <v>1170.54</v>
      </c>
      <c r="AA106" s="76">
        <f t="shared" ref="AA106" si="989">Z106/$B106</f>
        <v>0.33444000000000002</v>
      </c>
      <c r="AB106" s="67">
        <f t="shared" si="948"/>
        <v>14725.400000000005</v>
      </c>
      <c r="AC106" s="76">
        <f t="shared" si="620"/>
        <v>4.2072571428571441</v>
      </c>
      <c r="AD106" s="67">
        <f t="shared" si="949"/>
        <v>20517.390666666673</v>
      </c>
    </row>
    <row r="107" spans="1:30" x14ac:dyDescent="0.25">
      <c r="A107" s="45" t="s">
        <v>66</v>
      </c>
      <c r="B107" s="37">
        <v>593104.92319999996</v>
      </c>
      <c r="C107" s="37">
        <f t="shared" si="631"/>
        <v>49425.410266666666</v>
      </c>
      <c r="D107" s="37">
        <f>D108</f>
        <v>43837.289999999994</v>
      </c>
      <c r="E107" s="77">
        <f t="shared" si="599"/>
        <v>7.391152608122542E-2</v>
      </c>
      <c r="F107" s="37">
        <f>F108</f>
        <v>59728.329999999987</v>
      </c>
      <c r="G107" s="77">
        <f t="shared" si="599"/>
        <v>0.10070449201086651</v>
      </c>
      <c r="H107" s="37">
        <f>H108</f>
        <v>51154.47</v>
      </c>
      <c r="I107" s="77">
        <f t="shared" ref="I107" si="990">H107/$B107</f>
        <v>8.6248601215455231E-2</v>
      </c>
      <c r="J107" s="37">
        <f>J108</f>
        <v>29956.39</v>
      </c>
      <c r="K107" s="77">
        <f t="shared" ref="K107" si="991">J107/$B107</f>
        <v>5.0507741258284E-2</v>
      </c>
      <c r="L107" s="37">
        <f>L108</f>
        <v>29616.71</v>
      </c>
      <c r="M107" s="77">
        <f t="shared" ref="M107" si="992">L107/$B107</f>
        <v>4.9935026403436202E-2</v>
      </c>
      <c r="N107" s="37">
        <f>N108</f>
        <v>29419.260000000002</v>
      </c>
      <c r="O107" s="77">
        <f t="shared" ref="O107" si="993">N107/$B107</f>
        <v>4.9602117347590423E-2</v>
      </c>
      <c r="P107" s="37">
        <f>P108</f>
        <v>59988.070000000007</v>
      </c>
      <c r="Q107" s="77">
        <f t="shared" ref="Q107" si="994">P107/$B107</f>
        <v>0.10114242464274997</v>
      </c>
      <c r="R107" s="37">
        <f>R108</f>
        <v>19175.23</v>
      </c>
      <c r="S107" s="77">
        <f t="shared" ref="S107" si="995">R107/$B107</f>
        <v>3.2330249252599697E-2</v>
      </c>
      <c r="T107" s="37">
        <f>T108</f>
        <v>31021.399999999998</v>
      </c>
      <c r="U107" s="77">
        <f t="shared" ref="U107" si="996">T107/$B107</f>
        <v>5.2303393188222316E-2</v>
      </c>
      <c r="V107" s="37">
        <f>V108</f>
        <v>37705.08</v>
      </c>
      <c r="W107" s="77">
        <f t="shared" ref="W107" si="997">V107/$B107</f>
        <v>6.357236051349642E-2</v>
      </c>
      <c r="X107" s="37">
        <f>X108</f>
        <v>26462.93</v>
      </c>
      <c r="Y107" s="77">
        <f t="shared" ref="Y107" si="998">X107/$B107</f>
        <v>4.4617619859271471E-2</v>
      </c>
      <c r="Z107" s="37">
        <f>Z108</f>
        <v>41511.839999999997</v>
      </c>
      <c r="AA107" s="77">
        <f t="shared" ref="AA107" si="999">Z107/$B107</f>
        <v>6.9990718970986951E-2</v>
      </c>
      <c r="AB107" s="37">
        <f t="shared" ref="AB107" si="1000">AB108</f>
        <v>459576.99999999994</v>
      </c>
      <c r="AC107" s="77">
        <f t="shared" si="620"/>
        <v>0.77486627074418457</v>
      </c>
      <c r="AD107" s="37">
        <f>AD108</f>
        <v>488854.32692666666</v>
      </c>
    </row>
    <row r="108" spans="1:30" x14ac:dyDescent="0.25">
      <c r="A108" s="46" t="s">
        <v>67</v>
      </c>
      <c r="B108" s="38">
        <v>593104.92319999996</v>
      </c>
      <c r="C108" s="38">
        <f t="shared" si="631"/>
        <v>49425.410266666666</v>
      </c>
      <c r="D108" s="38">
        <f>SUM(D109:D123)</f>
        <v>43837.289999999994</v>
      </c>
      <c r="E108" s="78">
        <f t="shared" si="599"/>
        <v>7.391152608122542E-2</v>
      </c>
      <c r="F108" s="38">
        <f>SUM(F109:F123)</f>
        <v>59728.329999999987</v>
      </c>
      <c r="G108" s="78">
        <f t="shared" si="599"/>
        <v>0.10070449201086651</v>
      </c>
      <c r="H108" s="38">
        <f>SUM(H109:H123)</f>
        <v>51154.47</v>
      </c>
      <c r="I108" s="78">
        <f t="shared" ref="I108" si="1001">H108/$B108</f>
        <v>8.6248601215455231E-2</v>
      </c>
      <c r="J108" s="38">
        <f>SUM(J109:J123)</f>
        <v>29956.39</v>
      </c>
      <c r="K108" s="78">
        <f t="shared" ref="K108" si="1002">J108/$B108</f>
        <v>5.0507741258284E-2</v>
      </c>
      <c r="L108" s="38">
        <f>SUM(L109:L123)</f>
        <v>29616.71</v>
      </c>
      <c r="M108" s="78">
        <f t="shared" ref="M108" si="1003">L108/$B108</f>
        <v>4.9935026403436202E-2</v>
      </c>
      <c r="N108" s="38">
        <f>SUM(N109:N123)</f>
        <v>29419.260000000002</v>
      </c>
      <c r="O108" s="78">
        <f t="shared" ref="O108" si="1004">N108/$B108</f>
        <v>4.9602117347590423E-2</v>
      </c>
      <c r="P108" s="38">
        <f>SUM(P109:P123)</f>
        <v>59988.070000000007</v>
      </c>
      <c r="Q108" s="78">
        <f t="shared" ref="Q108" si="1005">P108/$B108</f>
        <v>0.10114242464274997</v>
      </c>
      <c r="R108" s="38">
        <f>SUM(R109:R123)</f>
        <v>19175.23</v>
      </c>
      <c r="S108" s="78">
        <f t="shared" ref="S108" si="1006">R108/$B108</f>
        <v>3.2330249252599697E-2</v>
      </c>
      <c r="T108" s="38">
        <f>SUM(T109:T123)</f>
        <v>31021.399999999998</v>
      </c>
      <c r="U108" s="78">
        <f t="shared" ref="U108" si="1007">T108/$B108</f>
        <v>5.2303393188222316E-2</v>
      </c>
      <c r="V108" s="38">
        <f>SUM(V109:V123)</f>
        <v>37705.08</v>
      </c>
      <c r="W108" s="78">
        <f t="shared" ref="W108" si="1008">V108/$B108</f>
        <v>6.357236051349642E-2</v>
      </c>
      <c r="X108" s="38">
        <f>SUM(X109:X123)</f>
        <v>26462.93</v>
      </c>
      <c r="Y108" s="78">
        <f t="shared" ref="Y108" si="1009">X108/$B108</f>
        <v>4.4617619859271471E-2</v>
      </c>
      <c r="Z108" s="38">
        <f>SUM(Z109:Z123)</f>
        <v>41511.839999999997</v>
      </c>
      <c r="AA108" s="78">
        <f t="shared" ref="AA108" si="1010">Z108/$B108</f>
        <v>6.9990718970986951E-2</v>
      </c>
      <c r="AB108" s="38">
        <f>SUM(AB109:AB123)</f>
        <v>459576.99999999994</v>
      </c>
      <c r="AC108" s="78">
        <f t="shared" si="620"/>
        <v>0.77486627074418457</v>
      </c>
      <c r="AD108" s="38">
        <f>SUM(AD109:AD123)</f>
        <v>488854.32692666666</v>
      </c>
    </row>
    <row r="109" spans="1:30" x14ac:dyDescent="0.25">
      <c r="A109" s="49" t="s">
        <v>68</v>
      </c>
      <c r="B109" s="66">
        <v>123000</v>
      </c>
      <c r="C109" s="66">
        <f t="shared" si="631"/>
        <v>10250</v>
      </c>
      <c r="D109" s="82">
        <f>18701.63+800</f>
        <v>19501.63</v>
      </c>
      <c r="E109" s="75">
        <f t="shared" si="599"/>
        <v>0.158549837398374</v>
      </c>
      <c r="F109" s="82">
        <v>17364</v>
      </c>
      <c r="G109" s="76">
        <f t="shared" si="599"/>
        <v>0.14117073170731706</v>
      </c>
      <c r="H109" s="70">
        <v>1264.2</v>
      </c>
      <c r="I109" s="76">
        <f t="shared" ref="I109" si="1011">H109/$B109</f>
        <v>1.0278048780487806E-2</v>
      </c>
      <c r="J109" s="70"/>
      <c r="K109" s="76">
        <f t="shared" ref="K109" si="1012">J109/$B109</f>
        <v>0</v>
      </c>
      <c r="L109" s="70"/>
      <c r="M109" s="76">
        <f t="shared" ref="M109" si="1013">L109/$B109</f>
        <v>0</v>
      </c>
      <c r="N109" s="70"/>
      <c r="O109" s="76">
        <f t="shared" ref="O109" si="1014">N109/$B109</f>
        <v>0</v>
      </c>
      <c r="P109" s="70">
        <v>33510.35</v>
      </c>
      <c r="Q109" s="76">
        <f t="shared" ref="Q109" si="1015">P109/$B109</f>
        <v>0.27244186991869918</v>
      </c>
      <c r="R109" s="70"/>
      <c r="S109" s="76">
        <f t="shared" ref="S109" si="1016">R109/$B109</f>
        <v>0</v>
      </c>
      <c r="T109" s="70"/>
      <c r="U109" s="76">
        <f t="shared" ref="U109" si="1017">T109/$B109</f>
        <v>0</v>
      </c>
      <c r="V109" s="70"/>
      <c r="W109" s="76">
        <f t="shared" ref="W109" si="1018">V109/$B109</f>
        <v>0</v>
      </c>
      <c r="X109" s="70"/>
      <c r="Y109" s="76">
        <f t="shared" ref="Y109" si="1019">X109/$B109</f>
        <v>0</v>
      </c>
      <c r="Z109" s="70">
        <v>12233.15</v>
      </c>
      <c r="AA109" s="76">
        <f t="shared" ref="AA109" si="1020">Z109/$B109</f>
        <v>9.9456504065040641E-2</v>
      </c>
      <c r="AB109" s="66">
        <f t="shared" ref="AB109:AB123" si="1021">D109+F109+H109+J109+L109+N109+P109+R109+T109+V109+X109+Z109</f>
        <v>83873.329999999987</v>
      </c>
      <c r="AC109" s="76">
        <f t="shared" si="620"/>
        <v>0.68189699186991859</v>
      </c>
      <c r="AD109" s="66">
        <f>76500*AE3</f>
        <v>79942.5</v>
      </c>
    </row>
    <row r="110" spans="1:30" x14ac:dyDescent="0.25">
      <c r="A110" s="49" t="s">
        <v>69</v>
      </c>
      <c r="B110" s="66">
        <v>155600</v>
      </c>
      <c r="C110" s="66">
        <f t="shared" si="631"/>
        <v>12966.666666666666</v>
      </c>
      <c r="D110" s="82">
        <f>7938.41-310.81</f>
        <v>7627.5999999999995</v>
      </c>
      <c r="E110" s="75">
        <f t="shared" si="599"/>
        <v>4.9020565552699229E-2</v>
      </c>
      <c r="F110" s="82">
        <f>22574.3-1.08-3376-11859.99</f>
        <v>7337.2299999999977</v>
      </c>
      <c r="G110" s="76">
        <f t="shared" si="599"/>
        <v>4.7154434447300754E-2</v>
      </c>
      <c r="H110" s="70">
        <f>11122.83-1.1-4000</f>
        <v>7121.73</v>
      </c>
      <c r="I110" s="76">
        <f t="shared" ref="I110" si="1022">H110/$B110</f>
        <v>4.5769473007712079E-2</v>
      </c>
      <c r="J110" s="70">
        <f>13112.82-2.82-4000</f>
        <v>9110</v>
      </c>
      <c r="K110" s="76">
        <f t="shared" ref="K110" si="1023">J110/$B110</f>
        <v>5.8547557840616965E-2</v>
      </c>
      <c r="L110" s="70">
        <f>13166.44-1.84-4000</f>
        <v>9164.6</v>
      </c>
      <c r="M110" s="76">
        <f t="shared" ref="M110" si="1024">L110/$B110</f>
        <v>5.8898457583547559E-2</v>
      </c>
      <c r="N110" s="70">
        <f>10026.56-1.46-4000</f>
        <v>6025.1</v>
      </c>
      <c r="O110" s="76">
        <f t="shared" ref="O110" si="1025">N110/$B110</f>
        <v>3.8721722365038562E-2</v>
      </c>
      <c r="P110" s="70">
        <f>10027.88-0.98-4000</f>
        <v>6026.9</v>
      </c>
      <c r="Q110" s="76">
        <f t="shared" ref="Q110" si="1026">P110/$B110</f>
        <v>3.8733290488431875E-2</v>
      </c>
      <c r="R110" s="70">
        <f>10027.4-1.5-4000</f>
        <v>6025.9</v>
      </c>
      <c r="S110" s="76">
        <f t="shared" ref="S110" si="1027">R110/$B110</f>
        <v>3.8726863753213367E-2</v>
      </c>
      <c r="T110" s="70">
        <f>10385.22-1.02-4000</f>
        <v>6384.1999999999989</v>
      </c>
      <c r="U110" s="76">
        <f t="shared" ref="U110" si="1028">T110/$B110</f>
        <v>4.1029562982005136E-2</v>
      </c>
      <c r="V110" s="70">
        <f>10484.45-1.37-4000</f>
        <v>6483.08</v>
      </c>
      <c r="W110" s="76">
        <f t="shared" ref="W110" si="1029">V110/$B110</f>
        <v>4.1665038560411309E-2</v>
      </c>
      <c r="X110" s="70">
        <f>10411.37-1.03-4000</f>
        <v>6410.34</v>
      </c>
      <c r="Y110" s="76">
        <f t="shared" ref="Y110" si="1030">X110/$B110</f>
        <v>4.1197557840616968E-2</v>
      </c>
      <c r="Z110" s="70">
        <f>7267.69-0.77</f>
        <v>7266.9199999999992</v>
      </c>
      <c r="AA110" s="76">
        <f t="shared" ref="AA110" si="1031">Z110/$B110</f>
        <v>4.6702570694087397E-2</v>
      </c>
      <c r="AB110" s="66">
        <f t="shared" si="1021"/>
        <v>84983.599999999991</v>
      </c>
      <c r="AC110" s="76">
        <f t="shared" si="620"/>
        <v>0.54616709511568118</v>
      </c>
      <c r="AD110" s="66">
        <f>(T110*AE3)*12</f>
        <v>80057.867999999988</v>
      </c>
    </row>
    <row r="111" spans="1:30" x14ac:dyDescent="0.25">
      <c r="A111" s="49" t="s">
        <v>29</v>
      </c>
      <c r="B111" s="66">
        <v>93500</v>
      </c>
      <c r="C111" s="66">
        <f t="shared" si="631"/>
        <v>7791.666666666667</v>
      </c>
      <c r="D111" s="82">
        <f>3876.07+1216.01+152</f>
        <v>5244.08</v>
      </c>
      <c r="E111" s="75">
        <f t="shared" si="599"/>
        <v>5.6086417112299468E-2</v>
      </c>
      <c r="F111" s="82">
        <f>3642.27+1142.66+142.84</f>
        <v>4927.7700000000004</v>
      </c>
      <c r="G111" s="76">
        <f t="shared" si="599"/>
        <v>5.2703422459893054E-2</v>
      </c>
      <c r="H111" s="70">
        <f>3573.53+20292+140.13-7154.35-12016.55</f>
        <v>4834.7599999999984</v>
      </c>
      <c r="I111" s="76">
        <f t="shared" ref="I111" si="1032">H111/$B111</f>
        <v>5.1708663101604262E-2</v>
      </c>
      <c r="J111" s="70">
        <f>3343.65+1048.99+131.12</f>
        <v>4523.76</v>
      </c>
      <c r="K111" s="76">
        <f t="shared" ref="K111" si="1033">J111/$B111</f>
        <v>4.8382459893048131E-2</v>
      </c>
      <c r="L111" s="70">
        <f>3357.06+1053.2+131.65</f>
        <v>4541.91</v>
      </c>
      <c r="M111" s="76">
        <f t="shared" ref="M111" si="1034">L111/$B111</f>
        <v>4.8576577540106948E-2</v>
      </c>
      <c r="N111" s="70">
        <f>2556.69+802.11+100.26</f>
        <v>3459.0600000000004</v>
      </c>
      <c r="O111" s="76">
        <f t="shared" ref="O111" si="1035">N111/$B111</f>
        <v>3.6995294117647064E-2</v>
      </c>
      <c r="P111" s="70">
        <f>2556.72+802.11+100.26-6.86</f>
        <v>3452.23</v>
      </c>
      <c r="Q111" s="76">
        <f t="shared" ref="Q111" si="1036">P111/$B111</f>
        <v>3.6922245989304811E-2</v>
      </c>
      <c r="R111" s="70">
        <f>2556.7+802.11+100.27</f>
        <v>3459.08</v>
      </c>
      <c r="S111" s="76">
        <f t="shared" ref="S111" si="1037">R111/$B111</f>
        <v>3.6995508021390372E-2</v>
      </c>
      <c r="T111" s="70">
        <f>2647.87+830.7+103.83</f>
        <v>3582.3999999999996</v>
      </c>
      <c r="U111" s="76">
        <f t="shared" ref="U111" si="1038">T111/$B111</f>
        <v>3.8314438502673791E-2</v>
      </c>
      <c r="V111" s="70">
        <f>3351.55+1051.44+131.43</f>
        <v>4534.42</v>
      </c>
      <c r="W111" s="76">
        <f t="shared" ref="W111" si="1039">V111/$B111</f>
        <v>4.8496470588235294E-2</v>
      </c>
      <c r="X111" s="70">
        <f>2654.49+832.78+104.09</f>
        <v>3591.3599999999997</v>
      </c>
      <c r="Y111" s="76">
        <f t="shared" ref="Y111" si="1040">X111/$B111</f>
        <v>3.841026737967914E-2</v>
      </c>
      <c r="Z111" s="70">
        <f>6241.09+1515.21+237.91</f>
        <v>7994.21</v>
      </c>
      <c r="AA111" s="76">
        <f t="shared" ref="AA111" si="1041">Z111/$B111</f>
        <v>8.5499572192513376E-2</v>
      </c>
      <c r="AB111" s="66">
        <f t="shared" si="1021"/>
        <v>54145.04</v>
      </c>
      <c r="AC111" s="76">
        <f t="shared" si="620"/>
        <v>0.57909133689839576</v>
      </c>
      <c r="AD111" s="66">
        <f>(T111*AE3)*12</f>
        <v>44923.295999999988</v>
      </c>
    </row>
    <row r="112" spans="1:30" x14ac:dyDescent="0.25">
      <c r="A112" s="49" t="s">
        <v>165</v>
      </c>
      <c r="B112" s="66">
        <v>27500</v>
      </c>
      <c r="C112" s="66">
        <f t="shared" si="631"/>
        <v>2291.6666666666665</v>
      </c>
      <c r="D112" s="82"/>
      <c r="E112" s="75">
        <f t="shared" si="599"/>
        <v>0</v>
      </c>
      <c r="F112" s="82"/>
      <c r="G112" s="76">
        <f t="shared" si="599"/>
        <v>0</v>
      </c>
      <c r="H112" s="70"/>
      <c r="I112" s="76">
        <f t="shared" ref="I112" si="1042">H112/$B112</f>
        <v>0</v>
      </c>
      <c r="J112" s="70"/>
      <c r="K112" s="76">
        <f t="shared" ref="K112" si="1043">J112/$B112</f>
        <v>0</v>
      </c>
      <c r="L112" s="70"/>
      <c r="M112" s="76">
        <f t="shared" ref="M112" si="1044">L112/$B112</f>
        <v>0</v>
      </c>
      <c r="N112" s="70"/>
      <c r="O112" s="76">
        <f t="shared" ref="O112" si="1045">N112/$B112</f>
        <v>0</v>
      </c>
      <c r="P112" s="70"/>
      <c r="Q112" s="76">
        <f t="shared" ref="Q112" si="1046">P112/$B112</f>
        <v>0</v>
      </c>
      <c r="R112" s="70"/>
      <c r="S112" s="76">
        <f t="shared" ref="S112" si="1047">R112/$B112</f>
        <v>0</v>
      </c>
      <c r="T112" s="70"/>
      <c r="U112" s="76">
        <f t="shared" ref="U112" si="1048">T112/$B112</f>
        <v>0</v>
      </c>
      <c r="V112" s="70"/>
      <c r="W112" s="76">
        <f t="shared" ref="W112" si="1049">V112/$B112</f>
        <v>0</v>
      </c>
      <c r="X112" s="70"/>
      <c r="Y112" s="76">
        <f t="shared" ref="Y112" si="1050">X112/$B112</f>
        <v>0</v>
      </c>
      <c r="Z112" s="70"/>
      <c r="AA112" s="76">
        <f t="shared" ref="AA112" si="1051">Z112/$B112</f>
        <v>0</v>
      </c>
      <c r="AB112" s="66">
        <f t="shared" si="1021"/>
        <v>0</v>
      </c>
      <c r="AC112" s="76">
        <f t="shared" si="620"/>
        <v>0</v>
      </c>
      <c r="AD112" s="66">
        <f>(AD110/12)*1.355</f>
        <v>9039.8675949999979</v>
      </c>
    </row>
    <row r="113" spans="1:30" x14ac:dyDescent="0.25">
      <c r="A113" s="49" t="s">
        <v>70</v>
      </c>
      <c r="B113" s="66">
        <v>5000</v>
      </c>
      <c r="C113" s="66">
        <f t="shared" si="631"/>
        <v>416.66666666666669</v>
      </c>
      <c r="D113" s="82"/>
      <c r="E113" s="75">
        <f t="shared" si="599"/>
        <v>0</v>
      </c>
      <c r="F113" s="82"/>
      <c r="G113" s="76">
        <f t="shared" si="599"/>
        <v>0</v>
      </c>
      <c r="H113" s="70"/>
      <c r="I113" s="76">
        <f t="shared" ref="I113" si="1052">H113/$B113</f>
        <v>0</v>
      </c>
      <c r="J113" s="70"/>
      <c r="K113" s="76">
        <f t="shared" ref="K113" si="1053">J113/$B113</f>
        <v>0</v>
      </c>
      <c r="L113" s="70"/>
      <c r="M113" s="76">
        <f t="shared" ref="M113" si="1054">L113/$B113</f>
        <v>0</v>
      </c>
      <c r="N113" s="70"/>
      <c r="O113" s="76">
        <f t="shared" ref="O113" si="1055">N113/$B113</f>
        <v>0</v>
      </c>
      <c r="P113" s="70">
        <v>9673.84</v>
      </c>
      <c r="Q113" s="76">
        <f t="shared" ref="Q113" si="1056">P113/$B113</f>
        <v>1.934768</v>
      </c>
      <c r="R113" s="70"/>
      <c r="S113" s="76">
        <f t="shared" ref="S113" si="1057">R113/$B113</f>
        <v>0</v>
      </c>
      <c r="T113" s="70"/>
      <c r="U113" s="76">
        <f t="shared" ref="U113" si="1058">T113/$B113</f>
        <v>0</v>
      </c>
      <c r="V113" s="70">
        <v>2660</v>
      </c>
      <c r="W113" s="76">
        <f t="shared" ref="W113" si="1059">V113/$B113</f>
        <v>0.53200000000000003</v>
      </c>
      <c r="X113" s="70"/>
      <c r="Y113" s="76">
        <f t="shared" ref="Y113" si="1060">X113/$B113</f>
        <v>0</v>
      </c>
      <c r="Z113" s="70"/>
      <c r="AA113" s="76">
        <f t="shared" ref="AA113" si="1061">Z113/$B113</f>
        <v>0</v>
      </c>
      <c r="AB113" s="66">
        <f t="shared" si="1021"/>
        <v>12333.84</v>
      </c>
      <c r="AC113" s="76">
        <f t="shared" si="620"/>
        <v>2.4667680000000001</v>
      </c>
      <c r="AD113" s="66">
        <f t="shared" ref="AD113" si="1062">((AB113/9)*$AE$3)*12</f>
        <v>17185.150399999999</v>
      </c>
    </row>
    <row r="114" spans="1:30" x14ac:dyDescent="0.25">
      <c r="A114" s="49" t="s">
        <v>164</v>
      </c>
      <c r="B114" s="66">
        <v>16377</v>
      </c>
      <c r="C114" s="66">
        <f t="shared" si="631"/>
        <v>1364.75</v>
      </c>
      <c r="D114" s="82">
        <f>5008+503.64+166.91+1892.85</f>
        <v>7571.4</v>
      </c>
      <c r="E114" s="75">
        <f t="shared" si="599"/>
        <v>0.46231910606338156</v>
      </c>
      <c r="F114" s="82">
        <f>2402.48+229.92+44.6+892.34+3345.86+336.49+111.51+1264.62</f>
        <v>8627.82</v>
      </c>
      <c r="G114" s="76">
        <f t="shared" si="599"/>
        <v>0.52682542590217984</v>
      </c>
      <c r="H114" s="70">
        <f>2892.44</f>
        <v>2892.44</v>
      </c>
      <c r="I114" s="76">
        <f t="shared" ref="I114" si="1063">H114/$B114</f>
        <v>0.17661598583379129</v>
      </c>
      <c r="J114" s="70"/>
      <c r="K114" s="76">
        <f t="shared" ref="K114" si="1064">J114/$B114</f>
        <v>0</v>
      </c>
      <c r="L114" s="70"/>
      <c r="M114" s="76">
        <f t="shared" ref="M114" si="1065">L114/$B114</f>
        <v>0</v>
      </c>
      <c r="N114" s="70"/>
      <c r="O114" s="76">
        <f t="shared" ref="O114" si="1066">N114/$B114</f>
        <v>0</v>
      </c>
      <c r="P114" s="70"/>
      <c r="Q114" s="76">
        <f t="shared" ref="Q114" si="1067">P114/$B114</f>
        <v>0</v>
      </c>
      <c r="R114" s="70"/>
      <c r="S114" s="76">
        <f t="shared" ref="S114" si="1068">R114/$B114</f>
        <v>0</v>
      </c>
      <c r="T114" s="70"/>
      <c r="U114" s="76">
        <f t="shared" ref="U114" si="1069">T114/$B114</f>
        <v>0</v>
      </c>
      <c r="V114" s="70"/>
      <c r="W114" s="76">
        <f t="shared" ref="W114" si="1070">V114/$B114</f>
        <v>0</v>
      </c>
      <c r="X114" s="70"/>
      <c r="Y114" s="76">
        <f t="shared" ref="Y114" si="1071">X114/$B114</f>
        <v>0</v>
      </c>
      <c r="Z114" s="70">
        <v>5544.47</v>
      </c>
      <c r="AA114" s="76">
        <f t="shared" ref="AA114" si="1072">Z114/$B114</f>
        <v>0.33855223789460831</v>
      </c>
      <c r="AB114" s="66">
        <f t="shared" si="1021"/>
        <v>24636.13</v>
      </c>
      <c r="AC114" s="76">
        <f t="shared" si="620"/>
        <v>1.5043127556939611</v>
      </c>
      <c r="AD114" s="66">
        <f>((AD110/12)/3)*1.355</f>
        <v>3013.2891983333325</v>
      </c>
    </row>
    <row r="115" spans="1:30" x14ac:dyDescent="0.25">
      <c r="A115" s="49" t="s">
        <v>30</v>
      </c>
      <c r="B115" s="66">
        <v>0</v>
      </c>
      <c r="C115" s="66">
        <f t="shared" si="631"/>
        <v>0</v>
      </c>
      <c r="D115" s="82"/>
      <c r="E115" s="75"/>
      <c r="F115" s="82">
        <f>11859.99</f>
        <v>11859.99</v>
      </c>
      <c r="G115" s="76"/>
      <c r="H115" s="70">
        <f>7154.35+12016.55</f>
        <v>19170.900000000001</v>
      </c>
      <c r="I115" s="76"/>
      <c r="J115" s="70"/>
      <c r="K115" s="76"/>
      <c r="L115" s="70"/>
      <c r="M115" s="76"/>
      <c r="N115" s="70"/>
      <c r="O115" s="76"/>
      <c r="P115" s="70"/>
      <c r="Q115" s="76"/>
      <c r="R115" s="70"/>
      <c r="S115" s="76"/>
      <c r="T115" s="70"/>
      <c r="U115" s="76"/>
      <c r="V115" s="70"/>
      <c r="W115" s="76"/>
      <c r="X115" s="70"/>
      <c r="Y115" s="76"/>
      <c r="Z115" s="70"/>
      <c r="AA115" s="76"/>
      <c r="AB115" s="66">
        <f t="shared" si="1021"/>
        <v>31030.89</v>
      </c>
      <c r="AC115" s="76" t="e">
        <f t="shared" si="620"/>
        <v>#DIV/0!</v>
      </c>
      <c r="AD115" s="66">
        <v>0</v>
      </c>
    </row>
    <row r="116" spans="1:30" ht="15" customHeight="1" x14ac:dyDescent="0.25">
      <c r="A116" s="49" t="s">
        <v>71</v>
      </c>
      <c r="B116" s="66">
        <v>40983.537900000003</v>
      </c>
      <c r="C116" s="66">
        <f t="shared" si="631"/>
        <v>3415.2948250000004</v>
      </c>
      <c r="D116" s="82">
        <f>871.21+326+336+206.28</f>
        <v>1739.49</v>
      </c>
      <c r="E116" s="75">
        <f t="shared" si="599"/>
        <v>4.2443627103261869E-2</v>
      </c>
      <c r="F116" s="82">
        <f>871.21+720+336+204.31</f>
        <v>2131.52</v>
      </c>
      <c r="G116" s="76">
        <f t="shared" si="599"/>
        <v>5.2009175127850533E-2</v>
      </c>
      <c r="H116" s="70">
        <f>871.21+172.32+206.29+570</f>
        <v>1819.82</v>
      </c>
      <c r="I116" s="76">
        <f t="shared" ref="I116" si="1073">H116/$B116</f>
        <v>4.4403682386824878E-2</v>
      </c>
      <c r="J116" s="70">
        <f>871.21+168+189.89+600</f>
        <v>1829.1</v>
      </c>
      <c r="K116" s="76">
        <f t="shared" ref="K116" si="1074">J116/$B116</f>
        <v>4.4630114766153459E-2</v>
      </c>
      <c r="L116" s="70">
        <f>168+308.52+570</f>
        <v>1046.52</v>
      </c>
      <c r="M116" s="76">
        <f t="shared" ref="M116" si="1075">L116/$B116</f>
        <v>2.5535130777472482E-2</v>
      </c>
      <c r="N116" s="70">
        <f>168+186.18+570</f>
        <v>924.18000000000006</v>
      </c>
      <c r="O116" s="76">
        <f t="shared" ref="O116" si="1076">N116/$B116</f>
        <v>2.2550029776711882E-2</v>
      </c>
      <c r="P116" s="70">
        <f>168+140.75+390</f>
        <v>698.75</v>
      </c>
      <c r="Q116" s="76">
        <f t="shared" ref="Q116" si="1077">P116/$B116</f>
        <v>1.7049528562052225E-2</v>
      </c>
      <c r="R116" s="70">
        <f>168+129.85+690</f>
        <v>987.85</v>
      </c>
      <c r="S116" s="76">
        <f t="shared" ref="S116" si="1078">R116/$B116</f>
        <v>2.4103580379281994E-2</v>
      </c>
      <c r="T116" s="70">
        <f>168+115.58+3360</f>
        <v>3643.58</v>
      </c>
      <c r="U116" s="76">
        <f t="shared" ref="U116" si="1079">T116/$B116</f>
        <v>8.8903500934700896E-2</v>
      </c>
      <c r="V116" s="70">
        <f>168+114.43+2760</f>
        <v>3042.43</v>
      </c>
      <c r="W116" s="76">
        <f t="shared" ref="W116" si="1080">V116/$B116</f>
        <v>7.4235416362138901E-2</v>
      </c>
      <c r="X116" s="70">
        <f>60+336.8+154.43+2230</f>
        <v>2781.23</v>
      </c>
      <c r="Y116" s="76">
        <f t="shared" ref="Y116" si="1081">X116/$B116</f>
        <v>6.7862125685347427E-2</v>
      </c>
      <c r="Z116" s="70">
        <f>198+120.83-93.45+144</f>
        <v>369.38</v>
      </c>
      <c r="AA116" s="76">
        <f t="shared" ref="AA116" si="1082">Z116/$B116</f>
        <v>9.0128870987489819E-3</v>
      </c>
      <c r="AB116" s="66">
        <f t="shared" si="1021"/>
        <v>21013.850000000002</v>
      </c>
      <c r="AC116" s="76">
        <f t="shared" si="620"/>
        <v>0.51273879896054564</v>
      </c>
      <c r="AD116" s="66">
        <f>(T116*AE3)*12</f>
        <v>45690.493199999997</v>
      </c>
    </row>
    <row r="117" spans="1:30" ht="15" customHeight="1" x14ac:dyDescent="0.25">
      <c r="A117" s="49" t="s">
        <v>154</v>
      </c>
      <c r="B117" s="66">
        <v>11950.710300000002</v>
      </c>
      <c r="C117" s="66">
        <f t="shared" si="631"/>
        <v>995.89252500000021</v>
      </c>
      <c r="D117" s="82"/>
      <c r="E117" s="75">
        <f t="shared" si="599"/>
        <v>0</v>
      </c>
      <c r="F117" s="82"/>
      <c r="G117" s="76">
        <f t="shared" si="599"/>
        <v>0</v>
      </c>
      <c r="H117" s="70"/>
      <c r="I117" s="76">
        <f t="shared" ref="I117" si="1083">H117/$B117</f>
        <v>0</v>
      </c>
      <c r="J117" s="70"/>
      <c r="K117" s="76">
        <f t="shared" ref="K117" si="1084">J117/$B117</f>
        <v>0</v>
      </c>
      <c r="L117" s="70"/>
      <c r="M117" s="76">
        <f t="shared" ref="M117" si="1085">L117/$B117</f>
        <v>0</v>
      </c>
      <c r="N117" s="70"/>
      <c r="O117" s="76">
        <f t="shared" ref="O117" si="1086">N117/$B117</f>
        <v>0</v>
      </c>
      <c r="P117" s="70"/>
      <c r="Q117" s="76">
        <f t="shared" ref="Q117" si="1087">P117/$B117</f>
        <v>0</v>
      </c>
      <c r="R117" s="70"/>
      <c r="S117" s="76">
        <f t="shared" ref="S117" si="1088">R117/$B117</f>
        <v>0</v>
      </c>
      <c r="T117" s="70"/>
      <c r="U117" s="76">
        <f t="shared" ref="U117" si="1089">T117/$B117</f>
        <v>0</v>
      </c>
      <c r="V117" s="70">
        <v>267.89999999999998</v>
      </c>
      <c r="W117" s="76">
        <f t="shared" ref="W117" si="1090">V117/$B117</f>
        <v>2.2417077585756548E-2</v>
      </c>
      <c r="X117" s="70">
        <v>600</v>
      </c>
      <c r="Y117" s="76">
        <f t="shared" ref="Y117" si="1091">X117/$B117</f>
        <v>5.020622079676719E-2</v>
      </c>
      <c r="Z117" s="70">
        <v>279.60000000000002</v>
      </c>
      <c r="AA117" s="76">
        <f t="shared" ref="AA117" si="1092">Z117/$B117</f>
        <v>2.3396098891293512E-2</v>
      </c>
      <c r="AB117" s="66">
        <f t="shared" si="1021"/>
        <v>1147.5</v>
      </c>
      <c r="AC117" s="76">
        <f t="shared" si="620"/>
        <v>9.6019397273817253E-2</v>
      </c>
      <c r="AD117" s="66">
        <v>5000</v>
      </c>
    </row>
    <row r="118" spans="1:30" x14ac:dyDescent="0.25">
      <c r="A118" s="47" t="s">
        <v>72</v>
      </c>
      <c r="B118" s="66">
        <v>18000</v>
      </c>
      <c r="C118" s="66">
        <f t="shared" si="631"/>
        <v>1500</v>
      </c>
      <c r="D118" s="82">
        <v>2120.09</v>
      </c>
      <c r="E118" s="75">
        <f t="shared" si="599"/>
        <v>0.11778277777777779</v>
      </c>
      <c r="F118" s="82"/>
      <c r="G118" s="76">
        <f t="shared" si="599"/>
        <v>0</v>
      </c>
      <c r="H118" s="70">
        <v>609.12</v>
      </c>
      <c r="I118" s="76">
        <f t="shared" ref="I118" si="1093">H118/$B118</f>
        <v>3.3840000000000002E-2</v>
      </c>
      <c r="J118" s="70">
        <v>773.53</v>
      </c>
      <c r="K118" s="76">
        <f t="shared" ref="K118" si="1094">J118/$B118</f>
        <v>4.2973888888888888E-2</v>
      </c>
      <c r="L118" s="70">
        <v>107.68</v>
      </c>
      <c r="M118" s="76">
        <f t="shared" ref="M118" si="1095">L118/$B118</f>
        <v>5.982222222222223E-3</v>
      </c>
      <c r="N118" s="70">
        <v>958.92</v>
      </c>
      <c r="O118" s="76">
        <f t="shared" ref="O118" si="1096">N118/$B118</f>
        <v>5.3273333333333332E-2</v>
      </c>
      <c r="P118" s="70">
        <v>786</v>
      </c>
      <c r="Q118" s="76">
        <f t="shared" ref="Q118" si="1097">P118/$B118</f>
        <v>4.3666666666666666E-2</v>
      </c>
      <c r="R118" s="70"/>
      <c r="S118" s="76">
        <f t="shared" ref="S118" si="1098">R118/$B118</f>
        <v>0</v>
      </c>
      <c r="T118" s="70">
        <v>2296.42</v>
      </c>
      <c r="U118" s="76">
        <f t="shared" ref="U118" si="1099">T118/$B118</f>
        <v>0.12757888888888888</v>
      </c>
      <c r="V118" s="70">
        <v>2300</v>
      </c>
      <c r="W118" s="76">
        <f t="shared" ref="W118" si="1100">V118/$B118</f>
        <v>0.12777777777777777</v>
      </c>
      <c r="X118" s="70">
        <v>1200</v>
      </c>
      <c r="Y118" s="76">
        <f t="shared" ref="Y118" si="1101">X118/$B118</f>
        <v>6.6666666666666666E-2</v>
      </c>
      <c r="Z118" s="70">
        <v>1104.17</v>
      </c>
      <c r="AA118" s="76">
        <f t="shared" ref="AA118" si="1102">Z118/$B118</f>
        <v>6.1342777777777781E-2</v>
      </c>
      <c r="AB118" s="66">
        <f t="shared" si="1021"/>
        <v>12255.929999999998</v>
      </c>
      <c r="AC118" s="76">
        <f t="shared" si="620"/>
        <v>0.68088499999999996</v>
      </c>
      <c r="AD118" s="66">
        <f t="shared" ref="AD118:AD123" si="1103">((AB118/9)*$AE$3)*12</f>
        <v>17076.595799999996</v>
      </c>
    </row>
    <row r="119" spans="1:30" x14ac:dyDescent="0.25">
      <c r="A119" s="49" t="s">
        <v>73</v>
      </c>
      <c r="B119" s="66">
        <v>5000</v>
      </c>
      <c r="C119" s="66">
        <f t="shared" si="631"/>
        <v>416.66666666666669</v>
      </c>
      <c r="D119" s="82">
        <v>33</v>
      </c>
      <c r="E119" s="75">
        <f t="shared" si="599"/>
        <v>6.6E-3</v>
      </c>
      <c r="F119" s="82">
        <f>1650+590</f>
        <v>2240</v>
      </c>
      <c r="G119" s="76">
        <f t="shared" si="599"/>
        <v>0.44800000000000001</v>
      </c>
      <c r="H119" s="70">
        <v>11.5</v>
      </c>
      <c r="I119" s="76">
        <f t="shared" ref="I119" si="1104">H119/$B119</f>
        <v>2.3E-3</v>
      </c>
      <c r="J119" s="70">
        <v>330</v>
      </c>
      <c r="K119" s="76">
        <f t="shared" ref="K119" si="1105">J119/$B119</f>
        <v>6.6000000000000003E-2</v>
      </c>
      <c r="L119" s="70"/>
      <c r="M119" s="76">
        <f t="shared" ref="M119" si="1106">L119/$B119</f>
        <v>0</v>
      </c>
      <c r="N119" s="70">
        <v>3300</v>
      </c>
      <c r="O119" s="76">
        <f t="shared" ref="O119" si="1107">N119/$B119</f>
        <v>0.66</v>
      </c>
      <c r="P119" s="70">
        <v>1440</v>
      </c>
      <c r="Q119" s="76">
        <f t="shared" ref="Q119" si="1108">P119/$B119</f>
        <v>0.28799999999999998</v>
      </c>
      <c r="R119" s="70"/>
      <c r="S119" s="76">
        <f t="shared" ref="S119" si="1109">R119/$B119</f>
        <v>0</v>
      </c>
      <c r="T119" s="70">
        <v>316.8</v>
      </c>
      <c r="U119" s="76">
        <f t="shared" ref="U119" si="1110">T119/$B119</f>
        <v>6.336E-2</v>
      </c>
      <c r="V119" s="70">
        <v>3200.4</v>
      </c>
      <c r="W119" s="76">
        <f t="shared" ref="W119" si="1111">V119/$B119</f>
        <v>0.64007999999999998</v>
      </c>
      <c r="X119" s="70"/>
      <c r="Y119" s="76">
        <f t="shared" ref="Y119" si="1112">X119/$B119</f>
        <v>0</v>
      </c>
      <c r="Z119" s="70">
        <v>339.96</v>
      </c>
      <c r="AA119" s="76">
        <f t="shared" ref="AA119" si="1113">Z119/$B119</f>
        <v>6.7991999999999997E-2</v>
      </c>
      <c r="AB119" s="66">
        <f t="shared" si="1021"/>
        <v>11211.66</v>
      </c>
      <c r="AC119" s="76">
        <f t="shared" si="620"/>
        <v>2.2423319999999998</v>
      </c>
      <c r="AD119" s="66">
        <f t="shared" si="1103"/>
        <v>15621.579599999999</v>
      </c>
    </row>
    <row r="120" spans="1:30" x14ac:dyDescent="0.25">
      <c r="A120" s="49" t="s">
        <v>93</v>
      </c>
      <c r="B120" s="66">
        <v>5000</v>
      </c>
      <c r="C120" s="66">
        <f t="shared" si="631"/>
        <v>416.66666666666669</v>
      </c>
      <c r="D120" s="82"/>
      <c r="E120" s="75">
        <f t="shared" si="599"/>
        <v>0</v>
      </c>
      <c r="F120" s="82"/>
      <c r="G120" s="76">
        <f t="shared" si="599"/>
        <v>0</v>
      </c>
      <c r="H120" s="70"/>
      <c r="I120" s="76">
        <f t="shared" ref="I120" si="1114">H120/$B120</f>
        <v>0</v>
      </c>
      <c r="J120" s="70"/>
      <c r="K120" s="76">
        <f t="shared" ref="K120" si="1115">J120/$B120</f>
        <v>0</v>
      </c>
      <c r="L120" s="70"/>
      <c r="M120" s="76">
        <f t="shared" ref="M120" si="1116">L120/$B120</f>
        <v>0</v>
      </c>
      <c r="N120" s="70"/>
      <c r="O120" s="76">
        <f t="shared" ref="O120" si="1117">N120/$B120</f>
        <v>0</v>
      </c>
      <c r="P120" s="70"/>
      <c r="Q120" s="76">
        <f t="shared" ref="Q120" si="1118">P120/$B120</f>
        <v>0</v>
      </c>
      <c r="R120" s="70">
        <v>1359.9</v>
      </c>
      <c r="S120" s="76">
        <f t="shared" ref="S120" si="1119">R120/$B120</f>
        <v>0.27198</v>
      </c>
      <c r="T120" s="70"/>
      <c r="U120" s="76">
        <f t="shared" ref="U120" si="1120">T120/$B120</f>
        <v>0</v>
      </c>
      <c r="V120" s="70"/>
      <c r="W120" s="76">
        <f t="shared" ref="W120" si="1121">V120/$B120</f>
        <v>0</v>
      </c>
      <c r="X120" s="70"/>
      <c r="Y120" s="76">
        <f t="shared" ref="Y120" si="1122">X120/$B120</f>
        <v>0</v>
      </c>
      <c r="Z120" s="70">
        <v>299.98</v>
      </c>
      <c r="AA120" s="76">
        <f t="shared" ref="AA120" si="1123">Z120/$B120</f>
        <v>5.9996000000000001E-2</v>
      </c>
      <c r="AB120" s="66">
        <f t="shared" si="1021"/>
        <v>1659.88</v>
      </c>
      <c r="AC120" s="76">
        <f t="shared" si="620"/>
        <v>0.33197600000000005</v>
      </c>
      <c r="AD120" s="66">
        <f t="shared" si="1103"/>
        <v>2312.7661333333335</v>
      </c>
    </row>
    <row r="121" spans="1:30" x14ac:dyDescent="0.25">
      <c r="A121" s="49" t="s">
        <v>74</v>
      </c>
      <c r="B121" s="66">
        <v>85593.675000000003</v>
      </c>
      <c r="C121" s="66">
        <f t="shared" si="631"/>
        <v>7132.8062500000005</v>
      </c>
      <c r="D121" s="82"/>
      <c r="E121" s="75">
        <f t="shared" si="599"/>
        <v>0</v>
      </c>
      <c r="F121" s="82">
        <v>5240</v>
      </c>
      <c r="G121" s="76">
        <f t="shared" si="599"/>
        <v>6.1219476789610913E-2</v>
      </c>
      <c r="H121" s="70">
        <v>13430</v>
      </c>
      <c r="I121" s="76">
        <f t="shared" ref="I121" si="1124">H121/$B121</f>
        <v>0.15690411703902185</v>
      </c>
      <c r="J121" s="70">
        <v>13390</v>
      </c>
      <c r="K121" s="76">
        <f t="shared" ref="K121" si="1125">J121/$B121</f>
        <v>0.1564367927887195</v>
      </c>
      <c r="L121" s="70">
        <v>14756</v>
      </c>
      <c r="M121" s="76">
        <f t="shared" ref="M121" si="1126">L121/$B121</f>
        <v>0.17239591593654555</v>
      </c>
      <c r="N121" s="70">
        <v>14752</v>
      </c>
      <c r="O121" s="76">
        <f t="shared" ref="O121" si="1127">N121/$B121</f>
        <v>0.17234918351151529</v>
      </c>
      <c r="P121" s="70"/>
      <c r="Q121" s="76">
        <f t="shared" ref="Q121" si="1128">P121/$B121</f>
        <v>0</v>
      </c>
      <c r="R121" s="70">
        <v>7342.5</v>
      </c>
      <c r="S121" s="76">
        <f t="shared" ref="S121" si="1129">R121/$B121</f>
        <v>8.5783207696129418E-2</v>
      </c>
      <c r="T121" s="70">
        <v>13743</v>
      </c>
      <c r="U121" s="76">
        <f t="shared" ref="U121" si="1130">T121/$B121</f>
        <v>0.16056092929763793</v>
      </c>
      <c r="V121" s="70">
        <f>13470-750</f>
        <v>12720</v>
      </c>
      <c r="W121" s="76">
        <f t="shared" ref="W121" si="1131">V121/$B121</f>
        <v>0.14860911159615472</v>
      </c>
      <c r="X121" s="70">
        <v>11880</v>
      </c>
      <c r="Y121" s="76">
        <f t="shared" ref="Y121" si="1132">X121/$B121</f>
        <v>0.13879530233980489</v>
      </c>
      <c r="Z121" s="70">
        <v>6080</v>
      </c>
      <c r="AA121" s="76">
        <f t="shared" ref="AA121" si="1133">Z121/$B121</f>
        <v>7.103328604596075E-2</v>
      </c>
      <c r="AB121" s="66">
        <f t="shared" si="1021"/>
        <v>113333.5</v>
      </c>
      <c r="AC121" s="76">
        <f t="shared" si="620"/>
        <v>1.3240873230411008</v>
      </c>
      <c r="AD121" s="66">
        <f t="shared" si="1103"/>
        <v>157911.34333333332</v>
      </c>
    </row>
    <row r="122" spans="1:30" x14ac:dyDescent="0.25">
      <c r="A122" s="49" t="s">
        <v>60</v>
      </c>
      <c r="B122" s="66">
        <v>600</v>
      </c>
      <c r="C122" s="66">
        <f t="shared" si="631"/>
        <v>50</v>
      </c>
      <c r="D122" s="82"/>
      <c r="E122" s="75">
        <f t="shared" si="599"/>
        <v>0</v>
      </c>
      <c r="F122" s="82"/>
      <c r="G122" s="76">
        <f t="shared" si="599"/>
        <v>0</v>
      </c>
      <c r="H122" s="70"/>
      <c r="I122" s="76">
        <f t="shared" ref="I122" si="1134">H122/$B122</f>
        <v>0</v>
      </c>
      <c r="J122" s="70"/>
      <c r="K122" s="76">
        <f t="shared" ref="K122" si="1135">J122/$B122</f>
        <v>0</v>
      </c>
      <c r="L122" s="70"/>
      <c r="M122" s="76">
        <f t="shared" ref="M122" si="1136">L122/$B122</f>
        <v>0</v>
      </c>
      <c r="N122" s="70"/>
      <c r="O122" s="76">
        <f t="shared" ref="O122" si="1137">N122/$B122</f>
        <v>0</v>
      </c>
      <c r="P122" s="70"/>
      <c r="Q122" s="76">
        <f t="shared" ref="Q122" si="1138">P122/$B122</f>
        <v>0</v>
      </c>
      <c r="R122" s="70"/>
      <c r="S122" s="76">
        <f t="shared" ref="S122" si="1139">R122/$B122</f>
        <v>0</v>
      </c>
      <c r="T122" s="70">
        <v>1055</v>
      </c>
      <c r="U122" s="76">
        <f t="shared" ref="U122" si="1140">T122/$B122</f>
        <v>1.7583333333333333</v>
      </c>
      <c r="V122" s="70">
        <v>2496.85</v>
      </c>
      <c r="W122" s="76">
        <f t="shared" ref="W122" si="1141">V122/$B122</f>
        <v>4.1614166666666668</v>
      </c>
      <c r="X122" s="70"/>
      <c r="Y122" s="76">
        <f t="shared" ref="Y122" si="1142">X122/$B122</f>
        <v>0</v>
      </c>
      <c r="Z122" s="70"/>
      <c r="AA122" s="76">
        <f t="shared" ref="AA122" si="1143">Z122/$B122</f>
        <v>0</v>
      </c>
      <c r="AB122" s="66">
        <f t="shared" si="1021"/>
        <v>3551.85</v>
      </c>
      <c r="AC122" s="76">
        <f t="shared" si="620"/>
        <v>5.9197499999999996</v>
      </c>
      <c r="AD122" s="66">
        <f t="shared" si="1103"/>
        <v>4948.9109999999991</v>
      </c>
    </row>
    <row r="123" spans="1:30" x14ac:dyDescent="0.25">
      <c r="A123" s="49" t="s">
        <v>75</v>
      </c>
      <c r="B123" s="66">
        <v>5000</v>
      </c>
      <c r="C123" s="66">
        <f t="shared" si="631"/>
        <v>416.66666666666669</v>
      </c>
      <c r="D123" s="82"/>
      <c r="E123" s="75">
        <f t="shared" si="599"/>
        <v>0</v>
      </c>
      <c r="F123" s="82"/>
      <c r="G123" s="76">
        <f t="shared" si="599"/>
        <v>0</v>
      </c>
      <c r="H123" s="70"/>
      <c r="I123" s="76">
        <f t="shared" ref="I123" si="1144">H123/$B123</f>
        <v>0</v>
      </c>
      <c r="J123" s="70"/>
      <c r="K123" s="76">
        <f t="shared" ref="K123" si="1145">J123/$B123</f>
        <v>0</v>
      </c>
      <c r="L123" s="70"/>
      <c r="M123" s="76">
        <f t="shared" ref="M123" si="1146">L123/$B123</f>
        <v>0</v>
      </c>
      <c r="N123" s="70"/>
      <c r="O123" s="76">
        <f t="shared" ref="O123" si="1147">N123/$B123</f>
        <v>0</v>
      </c>
      <c r="P123" s="70">
        <v>4400</v>
      </c>
      <c r="Q123" s="76">
        <f t="shared" ref="Q123" si="1148">P123/$B123</f>
        <v>0.88</v>
      </c>
      <c r="R123" s="70"/>
      <c r="S123" s="76">
        <f t="shared" ref="S123" si="1149">R123/$B123</f>
        <v>0</v>
      </c>
      <c r="T123" s="70"/>
      <c r="U123" s="76">
        <f t="shared" ref="U123" si="1150">T123/$B123</f>
        <v>0</v>
      </c>
      <c r="V123" s="70"/>
      <c r="W123" s="76">
        <f t="shared" ref="W123" si="1151">V123/$B123</f>
        <v>0</v>
      </c>
      <c r="X123" s="70"/>
      <c r="Y123" s="76">
        <f t="shared" ref="Y123" si="1152">X123/$B123</f>
        <v>0</v>
      </c>
      <c r="Z123" s="70"/>
      <c r="AA123" s="76">
        <f t="shared" ref="AA123" si="1153">Z123/$B123</f>
        <v>0</v>
      </c>
      <c r="AB123" s="66">
        <f t="shared" si="1021"/>
        <v>4400</v>
      </c>
      <c r="AC123" s="76">
        <f t="shared" si="620"/>
        <v>0.88</v>
      </c>
      <c r="AD123" s="66">
        <f t="shared" si="1103"/>
        <v>6130.6666666666661</v>
      </c>
    </row>
    <row r="124" spans="1:30" x14ac:dyDescent="0.25">
      <c r="A124" s="45" t="s">
        <v>76</v>
      </c>
      <c r="B124" s="37">
        <v>1033960.9574000001</v>
      </c>
      <c r="C124" s="37">
        <f t="shared" si="631"/>
        <v>86163.413116666678</v>
      </c>
      <c r="D124" s="37">
        <f>D125</f>
        <v>53049.62</v>
      </c>
      <c r="E124" s="77">
        <f t="shared" si="599"/>
        <v>5.1307179077050132E-2</v>
      </c>
      <c r="F124" s="37">
        <f>F125</f>
        <v>154597.61000000002</v>
      </c>
      <c r="G124" s="77">
        <f t="shared" si="599"/>
        <v>0.14951977528121702</v>
      </c>
      <c r="H124" s="37">
        <f>H125</f>
        <v>89386.89</v>
      </c>
      <c r="I124" s="77">
        <f t="shared" ref="I124" si="1154">H124/$B124</f>
        <v>8.6450933529223797E-2</v>
      </c>
      <c r="J124" s="37">
        <f>J125</f>
        <v>109087.29999999999</v>
      </c>
      <c r="K124" s="77">
        <f t="shared" ref="K124" si="1155">J124/$B124</f>
        <v>0.10550427385025359</v>
      </c>
      <c r="L124" s="37">
        <f>L125</f>
        <v>86856.27</v>
      </c>
      <c r="M124" s="77">
        <f t="shared" ref="M124" si="1156">L124/$B124</f>
        <v>8.4003432990747473E-2</v>
      </c>
      <c r="N124" s="37">
        <f>N125</f>
        <v>110812.11999999998</v>
      </c>
      <c r="O124" s="77">
        <f t="shared" ref="O124" si="1157">N124/$B124</f>
        <v>0.10717244128699822</v>
      </c>
      <c r="P124" s="37">
        <f>P125</f>
        <v>70785.73000000001</v>
      </c>
      <c r="Q124" s="77">
        <f t="shared" ref="Q124" si="1158">P124/$B124</f>
        <v>6.8460737800001586E-2</v>
      </c>
      <c r="R124" s="37">
        <f>R125</f>
        <v>56609.48</v>
      </c>
      <c r="S124" s="77">
        <f t="shared" ref="S124" si="1159">R124/$B124</f>
        <v>5.4750113720299746E-2</v>
      </c>
      <c r="T124" s="37">
        <f>T125</f>
        <v>68772.14</v>
      </c>
      <c r="U124" s="77">
        <f t="shared" ref="U124" si="1160">T124/$B124</f>
        <v>6.6513285156273735E-2</v>
      </c>
      <c r="V124" s="37">
        <f>V125</f>
        <v>73915.39</v>
      </c>
      <c r="W124" s="77">
        <f t="shared" ref="W124" si="1161">V124/$B124</f>
        <v>7.1487602574344555E-2</v>
      </c>
      <c r="X124" s="37">
        <f>X125</f>
        <v>53287.180000000008</v>
      </c>
      <c r="Y124" s="77">
        <f t="shared" ref="Y124" si="1162">X124/$B124</f>
        <v>5.1536936301730424E-2</v>
      </c>
      <c r="Z124" s="37">
        <f>Z125</f>
        <v>65334.520000000004</v>
      </c>
      <c r="AA124" s="77">
        <f t="shared" ref="AA124" si="1163">Z124/$B124</f>
        <v>6.3188575479958445E-2</v>
      </c>
      <c r="AB124" s="37">
        <f t="shared" ref="AB124" si="1164">AB125</f>
        <v>992494.24999999988</v>
      </c>
      <c r="AC124" s="77">
        <f t="shared" si="620"/>
        <v>0.95989528704809857</v>
      </c>
      <c r="AD124" s="37">
        <f>AD125</f>
        <v>1317860.240301</v>
      </c>
    </row>
    <row r="125" spans="1:30" x14ac:dyDescent="0.25">
      <c r="A125" s="46" t="s">
        <v>77</v>
      </c>
      <c r="B125" s="38">
        <v>1033960.9574000001</v>
      </c>
      <c r="C125" s="38">
        <f t="shared" si="631"/>
        <v>86163.413116666678</v>
      </c>
      <c r="D125" s="38">
        <f>SUM(D126:D137)</f>
        <v>53049.62</v>
      </c>
      <c r="E125" s="78">
        <f t="shared" si="599"/>
        <v>5.1307179077050132E-2</v>
      </c>
      <c r="F125" s="38">
        <f>SUM(F126:F137)</f>
        <v>154597.61000000002</v>
      </c>
      <c r="G125" s="78">
        <f t="shared" si="599"/>
        <v>0.14951977528121702</v>
      </c>
      <c r="H125" s="38">
        <f>SUM(H126:H137)</f>
        <v>89386.89</v>
      </c>
      <c r="I125" s="78">
        <f t="shared" ref="I125" si="1165">H125/$B125</f>
        <v>8.6450933529223797E-2</v>
      </c>
      <c r="J125" s="38">
        <f>SUM(J126:J137)</f>
        <v>109087.29999999999</v>
      </c>
      <c r="K125" s="78">
        <f t="shared" ref="K125" si="1166">J125/$B125</f>
        <v>0.10550427385025359</v>
      </c>
      <c r="L125" s="38">
        <f>SUM(L126:L137)</f>
        <v>86856.27</v>
      </c>
      <c r="M125" s="78">
        <f t="shared" ref="M125" si="1167">L125/$B125</f>
        <v>8.4003432990747473E-2</v>
      </c>
      <c r="N125" s="38">
        <f>SUM(N126:N137)</f>
        <v>110812.11999999998</v>
      </c>
      <c r="O125" s="78">
        <f t="shared" ref="O125" si="1168">N125/$B125</f>
        <v>0.10717244128699822</v>
      </c>
      <c r="P125" s="38">
        <f>SUM(P126:P137)</f>
        <v>70785.73000000001</v>
      </c>
      <c r="Q125" s="78">
        <f t="shared" ref="Q125" si="1169">P125/$B125</f>
        <v>6.8460737800001586E-2</v>
      </c>
      <c r="R125" s="38">
        <f>SUM(R126:R137)</f>
        <v>56609.48</v>
      </c>
      <c r="S125" s="78">
        <f t="shared" ref="S125" si="1170">R125/$B125</f>
        <v>5.4750113720299746E-2</v>
      </c>
      <c r="T125" s="38">
        <f>SUM(T126:T137)</f>
        <v>68772.14</v>
      </c>
      <c r="U125" s="78">
        <f t="shared" ref="U125" si="1171">T125/$B125</f>
        <v>6.6513285156273735E-2</v>
      </c>
      <c r="V125" s="38">
        <f>SUM(V126:V137)</f>
        <v>73915.39</v>
      </c>
      <c r="W125" s="78">
        <f t="shared" ref="W125" si="1172">V125/$B125</f>
        <v>7.1487602574344555E-2</v>
      </c>
      <c r="X125" s="38">
        <f>SUM(X126:X137)</f>
        <v>53287.180000000008</v>
      </c>
      <c r="Y125" s="78">
        <f t="shared" ref="Y125" si="1173">X125/$B125</f>
        <v>5.1536936301730424E-2</v>
      </c>
      <c r="Z125" s="38">
        <f>SUM(Z126:Z137)</f>
        <v>65334.520000000004</v>
      </c>
      <c r="AA125" s="78">
        <f t="shared" ref="AA125" si="1174">Z125/$B125</f>
        <v>6.3188575479958445E-2</v>
      </c>
      <c r="AB125" s="38">
        <f t="shared" ref="AB125" si="1175">SUM(AB126:AB137)</f>
        <v>992494.24999999988</v>
      </c>
      <c r="AC125" s="78">
        <f t="shared" si="620"/>
        <v>0.95989528704809857</v>
      </c>
      <c r="AD125" s="38">
        <f>SUM(AD126:AD137)</f>
        <v>1317860.240301</v>
      </c>
    </row>
    <row r="126" spans="1:30" x14ac:dyDescent="0.25">
      <c r="A126" s="64" t="s">
        <v>69</v>
      </c>
      <c r="B126" s="66">
        <v>108120</v>
      </c>
      <c r="C126" s="66">
        <f t="shared" si="631"/>
        <v>9010</v>
      </c>
      <c r="D126" s="82">
        <f>8698.52-1.69</f>
        <v>8696.83</v>
      </c>
      <c r="E126" s="75">
        <f t="shared" si="599"/>
        <v>8.0436829448760641E-2</v>
      </c>
      <c r="F126" s="82">
        <f>9487.04-1.32</f>
        <v>9485.7200000000012</v>
      </c>
      <c r="G126" s="75">
        <f t="shared" si="599"/>
        <v>8.7733259341472455E-2</v>
      </c>
      <c r="H126" s="70">
        <f>8698.2-580.87</f>
        <v>8117.3300000000008</v>
      </c>
      <c r="I126" s="75">
        <f t="shared" ref="I126" si="1176">H126/$B126</f>
        <v>7.5077044025157247E-2</v>
      </c>
      <c r="J126" s="70">
        <f>869.8-0.2</f>
        <v>869.59999999999991</v>
      </c>
      <c r="K126" s="75">
        <f t="shared" ref="K126" si="1177">J126/$B126</f>
        <v>8.0429152793192737E-3</v>
      </c>
      <c r="L126" s="70">
        <v>3139.4</v>
      </c>
      <c r="M126" s="75">
        <f t="shared" ref="M126" si="1178">L126/$B126</f>
        <v>2.90362560118387E-2</v>
      </c>
      <c r="N126" s="70">
        <f>3230.94-1.32</f>
        <v>3229.62</v>
      </c>
      <c r="O126" s="75">
        <f t="shared" ref="O126" si="1179">N126/$B126</f>
        <v>2.987069922308546E-2</v>
      </c>
      <c r="P126" s="70">
        <f>3261.45-36.74</f>
        <v>3224.71</v>
      </c>
      <c r="Q126" s="75">
        <f t="shared" ref="Q126" si="1180">P126/$B126</f>
        <v>2.9825286718460971E-2</v>
      </c>
      <c r="R126" s="70">
        <f>3144.13-0.71</f>
        <v>3143.42</v>
      </c>
      <c r="S126" s="75">
        <f t="shared" ref="S126" si="1181">R126/$B126</f>
        <v>2.9073436921938589E-2</v>
      </c>
      <c r="T126" s="70">
        <f>4142.36-20.59</f>
        <v>4121.7699999999995</v>
      </c>
      <c r="U126" s="75">
        <f t="shared" ref="U126" si="1182">T126/$B126</f>
        <v>3.8122179060303366E-2</v>
      </c>
      <c r="V126" s="70">
        <f>3970.81-265.62</f>
        <v>3705.19</v>
      </c>
      <c r="W126" s="75">
        <f t="shared" ref="W126" si="1183">V126/$B126</f>
        <v>3.4269237883832779E-2</v>
      </c>
      <c r="X126" s="70">
        <f>4875.24-136.87</f>
        <v>4738.37</v>
      </c>
      <c r="Y126" s="75">
        <f t="shared" ref="Y126" si="1184">X126/$B126</f>
        <v>4.3825101738808728E-2</v>
      </c>
      <c r="Z126" s="70">
        <f>5243.89-672.34</f>
        <v>4571.55</v>
      </c>
      <c r="AA126" s="75">
        <f t="shared" ref="AA126" si="1185">Z126/$B126</f>
        <v>4.228218645948946E-2</v>
      </c>
      <c r="AB126" s="66">
        <f t="shared" ref="AB126:AB137" si="1186">D126+F126+H126+J126+L126+N126+P126+R126+T126+V126+X126+Z126</f>
        <v>57043.510000000009</v>
      </c>
      <c r="AC126" s="75">
        <f t="shared" si="620"/>
        <v>0.5275944321124677</v>
      </c>
      <c r="AD126" s="66">
        <f>(T126*AE3)*12</f>
        <v>51686.99579999999</v>
      </c>
    </row>
    <row r="127" spans="1:30" x14ac:dyDescent="0.25">
      <c r="A127" s="64" t="s">
        <v>74</v>
      </c>
      <c r="B127" s="66">
        <v>485223.05070000002</v>
      </c>
      <c r="C127" s="66">
        <f t="shared" si="631"/>
        <v>40435.254225000004</v>
      </c>
      <c r="D127" s="82">
        <v>22130</v>
      </c>
      <c r="E127" s="75">
        <f t="shared" si="599"/>
        <v>4.5607890985546698E-2</v>
      </c>
      <c r="F127" s="82">
        <v>38809</v>
      </c>
      <c r="G127" s="75">
        <f t="shared" si="599"/>
        <v>7.9981773215457838E-2</v>
      </c>
      <c r="H127" s="70">
        <v>34341.08</v>
      </c>
      <c r="I127" s="75">
        <f t="shared" ref="I127" si="1187">H127/$B127</f>
        <v>7.0773801760774427E-2</v>
      </c>
      <c r="J127" s="70">
        <f>65276.83-3400</f>
        <v>61876.83</v>
      </c>
      <c r="K127" s="75">
        <f t="shared" ref="K127" si="1188">J127/$B127</f>
        <v>0.12752244542120225</v>
      </c>
      <c r="L127" s="70">
        <v>34786.050000000003</v>
      </c>
      <c r="M127" s="75">
        <f t="shared" ref="M127" si="1189">L127/$B127</f>
        <v>7.1690843932118248E-2</v>
      </c>
      <c r="N127" s="70">
        <v>64194.44</v>
      </c>
      <c r="O127" s="75">
        <f t="shared" ref="O127" si="1190">N127/$B127</f>
        <v>0.13229882609119831</v>
      </c>
      <c r="P127" s="70">
        <v>30675</v>
      </c>
      <c r="Q127" s="75">
        <f t="shared" ref="Q127" si="1191">P127/$B127</f>
        <v>6.3218348666138499E-2</v>
      </c>
      <c r="R127" s="70">
        <v>38893</v>
      </c>
      <c r="S127" s="75">
        <f t="shared" ref="S127" si="1192">R127/$B127</f>
        <v>8.0154889475863883E-2</v>
      </c>
      <c r="T127" s="70">
        <v>19897</v>
      </c>
      <c r="U127" s="75">
        <f t="shared" ref="U127" si="1193">T127/$B127</f>
        <v>4.1005883729752494E-2</v>
      </c>
      <c r="V127" s="70">
        <v>30950</v>
      </c>
      <c r="W127" s="75">
        <f t="shared" ref="W127" si="1194">V127/$B127</f>
        <v>6.3785098328182119E-2</v>
      </c>
      <c r="X127" s="70">
        <v>28689</v>
      </c>
      <c r="Y127" s="75">
        <f t="shared" ref="Y127" si="1195">X127/$B127</f>
        <v>5.9125385652252567E-2</v>
      </c>
      <c r="Z127" s="70">
        <f>410+26788.33</f>
        <v>27198.33</v>
      </c>
      <c r="AA127" s="75">
        <f t="shared" ref="AA127" si="1196">Z127/$B127</f>
        <v>5.6053252129639602E-2</v>
      </c>
      <c r="AB127" s="66">
        <f t="shared" si="1186"/>
        <v>432439.73000000004</v>
      </c>
      <c r="AC127" s="75">
        <f t="shared" si="620"/>
        <v>0.89121843938812695</v>
      </c>
      <c r="AD127" s="66">
        <f t="shared" ref="AD127" si="1197">((AB127/9)*$AE$3)*12</f>
        <v>602532.69046666671</v>
      </c>
    </row>
    <row r="128" spans="1:30" x14ac:dyDescent="0.25">
      <c r="A128" s="64" t="s">
        <v>29</v>
      </c>
      <c r="B128" s="66">
        <v>45408</v>
      </c>
      <c r="C128" s="66">
        <f t="shared" si="631"/>
        <v>3784</v>
      </c>
      <c r="D128" s="82">
        <f>2217.98+695.84+86.98</f>
        <v>3000.8</v>
      </c>
      <c r="E128" s="75">
        <f t="shared" si="599"/>
        <v>6.6085271317829458E-2</v>
      </c>
      <c r="F128" s="82">
        <f>3475.12+758.94+94.87</f>
        <v>4328.9299999999994</v>
      </c>
      <c r="G128" s="75">
        <f t="shared" si="599"/>
        <v>9.5334082100070452E-2</v>
      </c>
      <c r="H128" s="70">
        <f>2246.1+649.45+81.18</f>
        <v>2976.73</v>
      </c>
      <c r="I128" s="75">
        <f t="shared" ref="I128" si="1198">H128/$B128</f>
        <v>6.5555188513037349E-2</v>
      </c>
      <c r="J128" s="70">
        <f>1293.05+3095.53+31.1-708.71</f>
        <v>3710.9700000000003</v>
      </c>
      <c r="K128" s="75">
        <f t="shared" ref="K128" si="1199">J128/$B128</f>
        <v>8.1725026427061323E-2</v>
      </c>
      <c r="L128" s="70">
        <v>1098.79</v>
      </c>
      <c r="M128" s="75">
        <f t="shared" ref="M128" si="1200">L128/$B128</f>
        <v>2.4198158914728683E-2</v>
      </c>
      <c r="N128" s="70">
        <f>1275.76+258.42+32.3</f>
        <v>1566.48</v>
      </c>
      <c r="O128" s="75">
        <f t="shared" ref="O128" si="1201">N128/$B128</f>
        <v>3.4497885835095138E-2</v>
      </c>
      <c r="P128" s="70">
        <f>1022.47+258.01+32.25</f>
        <v>1312.73</v>
      </c>
      <c r="Q128" s="75">
        <f t="shared" ref="Q128" si="1202">P128/$B128</f>
        <v>2.8909663495419308E-2</v>
      </c>
      <c r="R128" s="70">
        <f>801.54+251.45+31.43</f>
        <v>1084.42</v>
      </c>
      <c r="S128" s="75">
        <f t="shared" ref="S128" si="1203">R128/$B128</f>
        <v>2.3881694855532067E-2</v>
      </c>
      <c r="T128" s="70">
        <f>1069.85+329.74+41.21</f>
        <v>1440.8</v>
      </c>
      <c r="U128" s="75">
        <f t="shared" ref="U128" si="1204">T128/$B128</f>
        <v>3.1730091613812544E-2</v>
      </c>
      <c r="V128" s="70">
        <f>1324.5+415.52+51.94</f>
        <v>1791.96</v>
      </c>
      <c r="W128" s="75">
        <f t="shared" ref="W128" si="1205">V128/$B128</f>
        <v>3.946353065539112E-2</v>
      </c>
      <c r="X128" s="70">
        <f>1208.29+379.06+47.38</f>
        <v>1634.73</v>
      </c>
      <c r="Y128" s="75">
        <f t="shared" ref="Y128" si="1206">X128/$B128</f>
        <v>3.6000924947145879E-2</v>
      </c>
      <c r="Z128" s="70">
        <f>2312.89+529.93+83.79</f>
        <v>2926.6099999999997</v>
      </c>
      <c r="AA128" s="75">
        <f t="shared" ref="AA128" si="1207">Z128/$B128</f>
        <v>6.4451418252290338E-2</v>
      </c>
      <c r="AB128" s="66">
        <f t="shared" si="1186"/>
        <v>26873.949999999997</v>
      </c>
      <c r="AC128" s="75">
        <f t="shared" si="620"/>
        <v>0.59183293692741357</v>
      </c>
      <c r="AD128" s="66">
        <f>(T128*AE3)*12</f>
        <v>18067.631999999998</v>
      </c>
    </row>
    <row r="129" spans="1:30" x14ac:dyDescent="0.25">
      <c r="A129" s="64" t="s">
        <v>164</v>
      </c>
      <c r="B129" s="66">
        <v>7268</v>
      </c>
      <c r="C129" s="66">
        <f t="shared" si="631"/>
        <v>605.66666666666663</v>
      </c>
      <c r="D129" s="82"/>
      <c r="E129" s="75">
        <f t="shared" ref="E129:G151" si="1208">D129/$B129</f>
        <v>0</v>
      </c>
      <c r="F129" s="82"/>
      <c r="G129" s="75">
        <f t="shared" si="1208"/>
        <v>0</v>
      </c>
      <c r="H129" s="70"/>
      <c r="I129" s="75">
        <f t="shared" ref="I129" si="1209">H129/$B129</f>
        <v>0</v>
      </c>
      <c r="J129" s="70">
        <v>9752.09</v>
      </c>
      <c r="K129" s="75">
        <f t="shared" ref="K129" si="1210">J129/$B129</f>
        <v>1.341784534947716</v>
      </c>
      <c r="L129" s="70"/>
      <c r="M129" s="75">
        <f t="shared" ref="M129" si="1211">L129/$B129</f>
        <v>0</v>
      </c>
      <c r="N129" s="70"/>
      <c r="O129" s="75">
        <f t="shared" ref="O129" si="1212">N129/$B129</f>
        <v>0</v>
      </c>
      <c r="P129" s="70"/>
      <c r="Q129" s="75">
        <f t="shared" ref="Q129" si="1213">P129/$B129</f>
        <v>0</v>
      </c>
      <c r="R129" s="70"/>
      <c r="S129" s="75">
        <f t="shared" ref="S129" si="1214">R129/$B129</f>
        <v>0</v>
      </c>
      <c r="T129" s="70"/>
      <c r="U129" s="75">
        <f t="shared" ref="U129" si="1215">T129/$B129</f>
        <v>0</v>
      </c>
      <c r="V129" s="70">
        <v>2591.3000000000002</v>
      </c>
      <c r="W129" s="75">
        <f t="shared" ref="W129" si="1216">V129/$B129</f>
        <v>0.35653549807374796</v>
      </c>
      <c r="X129" s="70"/>
      <c r="Y129" s="75">
        <f t="shared" ref="Y129" si="1217">X129/$B129</f>
        <v>0</v>
      </c>
      <c r="Z129" s="70"/>
      <c r="AA129" s="75">
        <f t="shared" ref="AA129" si="1218">Z129/$B129</f>
        <v>0</v>
      </c>
      <c r="AB129" s="66">
        <f t="shared" si="1186"/>
        <v>12343.39</v>
      </c>
      <c r="AC129" s="75">
        <f t="shared" si="620"/>
        <v>1.6983200330214638</v>
      </c>
      <c r="AD129" s="66">
        <f>((AD126/12)/3)*1.355</f>
        <v>1945.4410919166662</v>
      </c>
    </row>
    <row r="130" spans="1:30" x14ac:dyDescent="0.25">
      <c r="A130" s="64" t="s">
        <v>165</v>
      </c>
      <c r="B130" s="66">
        <v>12208</v>
      </c>
      <c r="C130" s="66">
        <f t="shared" si="631"/>
        <v>1017.3333333333334</v>
      </c>
      <c r="D130" s="82"/>
      <c r="E130" s="75">
        <f t="shared" si="1208"/>
        <v>0</v>
      </c>
      <c r="F130" s="82"/>
      <c r="G130" s="75">
        <f t="shared" si="1208"/>
        <v>0</v>
      </c>
      <c r="H130" s="70"/>
      <c r="I130" s="75">
        <f t="shared" ref="I130" si="1219">H130/$B130</f>
        <v>0</v>
      </c>
      <c r="J130" s="70">
        <v>2240.23</v>
      </c>
      <c r="K130" s="75">
        <f t="shared" ref="K130" si="1220">J130/$B130</f>
        <v>0.18350507863695936</v>
      </c>
      <c r="L130" s="70"/>
      <c r="M130" s="75">
        <f t="shared" ref="M130" si="1221">L130/$B130</f>
        <v>0</v>
      </c>
      <c r="N130" s="70"/>
      <c r="O130" s="75">
        <f t="shared" ref="O130" si="1222">N130/$B130</f>
        <v>0</v>
      </c>
      <c r="P130" s="70"/>
      <c r="Q130" s="75">
        <f t="shared" ref="Q130" si="1223">P130/$B130</f>
        <v>0</v>
      </c>
      <c r="R130" s="70"/>
      <c r="S130" s="75">
        <f t="shared" ref="S130" si="1224">R130/$B130</f>
        <v>0</v>
      </c>
      <c r="T130" s="70"/>
      <c r="U130" s="75">
        <f t="shared" ref="U130" si="1225">T130/$B130</f>
        <v>0</v>
      </c>
      <c r="V130" s="70"/>
      <c r="W130" s="75">
        <f t="shared" ref="W130" si="1226">V130/$B130</f>
        <v>0</v>
      </c>
      <c r="X130" s="70"/>
      <c r="Y130" s="75">
        <f t="shared" ref="Y130" si="1227">X130/$B130</f>
        <v>0</v>
      </c>
      <c r="Z130" s="70">
        <v>3808.59</v>
      </c>
      <c r="AA130" s="75">
        <f t="shared" ref="AA130" si="1228">Z130/$B130</f>
        <v>0.31197493446920055</v>
      </c>
      <c r="AB130" s="66">
        <f t="shared" si="1186"/>
        <v>6048.82</v>
      </c>
      <c r="AC130" s="75">
        <f t="shared" ref="AC130:AC151" si="1229">AB130/$B130</f>
        <v>0.49548001310615986</v>
      </c>
      <c r="AD130" s="66">
        <f>(AD126/12)*1.355</f>
        <v>5836.3232757499982</v>
      </c>
    </row>
    <row r="131" spans="1:30" x14ac:dyDescent="0.25">
      <c r="A131" s="47" t="s">
        <v>78</v>
      </c>
      <c r="B131" s="66">
        <v>19647.343799999999</v>
      </c>
      <c r="C131" s="66">
        <f t="shared" si="631"/>
        <v>1637.27865</v>
      </c>
      <c r="D131" s="82">
        <f>1859+336+127.64</f>
        <v>2322.64</v>
      </c>
      <c r="E131" s="75">
        <f t="shared" si="1208"/>
        <v>0.11821648888741897</v>
      </c>
      <c r="F131" s="82">
        <f>720+168+126.41</f>
        <v>1014.41</v>
      </c>
      <c r="G131" s="76">
        <f t="shared" si="1208"/>
        <v>5.1630897811234922E-2</v>
      </c>
      <c r="H131" s="70">
        <f>168+127.64+720</f>
        <v>1015.64</v>
      </c>
      <c r="I131" s="76">
        <f t="shared" ref="I131" si="1230">H131/$B131</f>
        <v>5.169350169359789E-2</v>
      </c>
      <c r="J131" s="70">
        <f>168+117.49+750</f>
        <v>1035.49</v>
      </c>
      <c r="K131" s="76">
        <f t="shared" ref="K131" si="1231">J131/$B131</f>
        <v>5.2703816380512469E-2</v>
      </c>
      <c r="L131" s="70">
        <f>168+190.89+600+720-600</f>
        <v>1078.8899999999999</v>
      </c>
      <c r="M131" s="76">
        <f t="shared" ref="M131" si="1232">L131/$B131</f>
        <v>5.4912766376083874E-2</v>
      </c>
      <c r="N131" s="70">
        <f>168+115.2+720</f>
        <v>1003.2</v>
      </c>
      <c r="O131" s="76">
        <f t="shared" ref="O131" si="1233">N131/$B131</f>
        <v>5.1060337224821208E-2</v>
      </c>
      <c r="P131" s="70">
        <f>168+140.75+780</f>
        <v>1088.75</v>
      </c>
      <c r="Q131" s="76">
        <f t="shared" ref="Q131" si="1234">P131/$B131</f>
        <v>5.541461538429434E-2</v>
      </c>
      <c r="R131" s="70">
        <f>168+129.85+3112.2</f>
        <v>3410.0499999999997</v>
      </c>
      <c r="S131" s="76">
        <f t="shared" ref="S131" si="1235">R131/$B131</f>
        <v>0.17356290166816341</v>
      </c>
      <c r="T131" s="70">
        <f>336+231.15+4833</f>
        <v>5400.15</v>
      </c>
      <c r="U131" s="76">
        <f t="shared" ref="U131" si="1236">T131/$B131</f>
        <v>0.27485394743283315</v>
      </c>
      <c r="V131" s="70">
        <f>336+348.82+7125</f>
        <v>7809.82</v>
      </c>
      <c r="W131" s="76">
        <f t="shared" ref="W131" si="1237">V131/$B131</f>
        <v>0.39750004272842215</v>
      </c>
      <c r="X131" s="70">
        <f>673.6+268.84+3780</f>
        <v>4722.4400000000005</v>
      </c>
      <c r="Y131" s="76">
        <f t="shared" ref="Y131" si="1238">X131/$B131</f>
        <v>0.24036022620014422</v>
      </c>
      <c r="Z131" s="70">
        <f>396+360.41+3262</f>
        <v>4018.41</v>
      </c>
      <c r="AA131" s="76">
        <f t="shared" ref="AA131" si="1239">Z131/$B131</f>
        <v>0.20452688367981833</v>
      </c>
      <c r="AB131" s="66">
        <f t="shared" si="1186"/>
        <v>33919.89</v>
      </c>
      <c r="AC131" s="76">
        <f t="shared" si="1229"/>
        <v>1.726436425467345</v>
      </c>
      <c r="AD131" s="66">
        <f t="shared" ref="AD131:AD137" si="1240">((AB131/9)*$AE$3)*12</f>
        <v>47261.713399999993</v>
      </c>
    </row>
    <row r="132" spans="1:30" ht="16.149999999999999" customHeight="1" x14ac:dyDescent="0.25">
      <c r="A132" s="49" t="s">
        <v>148</v>
      </c>
      <c r="B132" s="66">
        <v>161377.41570000001</v>
      </c>
      <c r="C132" s="66">
        <f t="shared" ref="C132:C151" si="1241">B132/12</f>
        <v>13448.117975000001</v>
      </c>
      <c r="D132" s="82"/>
      <c r="E132" s="75">
        <f t="shared" si="1208"/>
        <v>0</v>
      </c>
      <c r="F132" s="82">
        <f>43241.15+19155.2</f>
        <v>62396.350000000006</v>
      </c>
      <c r="G132" s="76">
        <f t="shared" si="1208"/>
        <v>0.38664858852365425</v>
      </c>
      <c r="H132" s="70">
        <f>19187.29+940</f>
        <v>20127.29</v>
      </c>
      <c r="I132" s="76">
        <f t="shared" ref="I132" si="1242">H132/$B132</f>
        <v>0.12472185102664275</v>
      </c>
      <c r="J132" s="70">
        <v>3120</v>
      </c>
      <c r="K132" s="76">
        <f t="shared" ref="K132" si="1243">J132/$B132</f>
        <v>1.9333560315528089E-2</v>
      </c>
      <c r="L132" s="70">
        <f>8753+470</f>
        <v>9223</v>
      </c>
      <c r="M132" s="76">
        <f t="shared" ref="M132" si="1244">L132/$B132</f>
        <v>5.7151739355806273E-2</v>
      </c>
      <c r="N132" s="70">
        <f>18302+3980</f>
        <v>22282</v>
      </c>
      <c r="O132" s="76">
        <f t="shared" ref="O132" si="1245">N132/$B132</f>
        <v>0.13807384325339644</v>
      </c>
      <c r="P132" s="70">
        <v>600</v>
      </c>
      <c r="Q132" s="76">
        <f t="shared" ref="Q132" si="1246">P132/$B132</f>
        <v>3.7179923683707864E-3</v>
      </c>
      <c r="R132" s="70">
        <f>2792+880</f>
        <v>3672</v>
      </c>
      <c r="S132" s="76">
        <f t="shared" ref="S132" si="1247">R132/$B132</f>
        <v>2.2754113294429213E-2</v>
      </c>
      <c r="T132" s="70">
        <f>6822+358.8</f>
        <v>7180.8</v>
      </c>
      <c r="U132" s="76">
        <f t="shared" ref="U132" si="1248">T132/$B132</f>
        <v>4.4496932664661572E-2</v>
      </c>
      <c r="V132" s="70">
        <v>1354</v>
      </c>
      <c r="W132" s="76">
        <f t="shared" ref="W132" si="1249">V132/$B132</f>
        <v>8.3902694446234081E-3</v>
      </c>
      <c r="X132" s="70">
        <f>1089.68</f>
        <v>1089.68</v>
      </c>
      <c r="Y132" s="76">
        <f t="shared" ref="Y132" si="1250">X132/$B132</f>
        <v>6.7523698732771314E-3</v>
      </c>
      <c r="Z132" s="70">
        <f>5260+3840</f>
        <v>9100</v>
      </c>
      <c r="AA132" s="76">
        <f t="shared" ref="AA132" si="1251">Z132/$B132</f>
        <v>5.6389550920290264E-2</v>
      </c>
      <c r="AB132" s="66">
        <f t="shared" si="1186"/>
        <v>140145.12</v>
      </c>
      <c r="AC132" s="76">
        <f t="shared" si="1229"/>
        <v>0.8684308110406801</v>
      </c>
      <c r="AD132" s="66">
        <f t="shared" si="1240"/>
        <v>195268.86720000001</v>
      </c>
    </row>
    <row r="133" spans="1:30" x14ac:dyDescent="0.25">
      <c r="A133" s="49" t="s">
        <v>79</v>
      </c>
      <c r="B133" s="66">
        <v>4847.9258999999993</v>
      </c>
      <c r="C133" s="66">
        <f t="shared" si="1241"/>
        <v>403.99382499999996</v>
      </c>
      <c r="D133" s="82">
        <v>3020</v>
      </c>
      <c r="E133" s="75">
        <f t="shared" si="1208"/>
        <v>0.62294681525557161</v>
      </c>
      <c r="F133" s="82">
        <v>3508.05</v>
      </c>
      <c r="G133" s="76">
        <f t="shared" si="1208"/>
        <v>0.72361873352890993</v>
      </c>
      <c r="H133" s="70">
        <v>4652.67</v>
      </c>
      <c r="I133" s="76">
        <f t="shared" ref="I133" si="1252">H133/$B133</f>
        <v>0.95972382746196694</v>
      </c>
      <c r="J133" s="70">
        <f>5690+11500</f>
        <v>17190</v>
      </c>
      <c r="K133" s="76">
        <f t="shared" ref="K133" si="1253">J133/$B133</f>
        <v>3.5458462762394949</v>
      </c>
      <c r="L133" s="70">
        <v>11500</v>
      </c>
      <c r="M133" s="76">
        <f t="shared" ref="M133" si="1254">L133/$B133</f>
        <v>2.3721484686884349</v>
      </c>
      <c r="N133" s="70">
        <v>1480</v>
      </c>
      <c r="O133" s="76">
        <f t="shared" ref="O133" si="1255">N133/$B133</f>
        <v>0.30528519423120726</v>
      </c>
      <c r="P133" s="70">
        <v>344.68</v>
      </c>
      <c r="Q133" s="76">
        <f t="shared" ref="Q133" si="1256">P133/$B133</f>
        <v>7.1098446451089536E-2</v>
      </c>
      <c r="R133" s="70">
        <v>600</v>
      </c>
      <c r="S133" s="76">
        <f t="shared" ref="S133" si="1257">R133/$B133</f>
        <v>0.12376426793157051</v>
      </c>
      <c r="T133" s="70">
        <v>7600</v>
      </c>
      <c r="U133" s="76">
        <f t="shared" ref="U133" si="1258">T133/$B133</f>
        <v>1.5676807271332265</v>
      </c>
      <c r="V133" s="70">
        <v>2170</v>
      </c>
      <c r="W133" s="76">
        <f t="shared" ref="W133" si="1259">V133/$B133</f>
        <v>0.44761410235251331</v>
      </c>
      <c r="X133" s="70">
        <v>600</v>
      </c>
      <c r="Y133" s="76">
        <f t="shared" ref="Y133" si="1260">X133/$B133</f>
        <v>0.12376426793157051</v>
      </c>
      <c r="Z133" s="70">
        <v>600</v>
      </c>
      <c r="AA133" s="76">
        <f t="shared" ref="AA133" si="1261">Z133/$B133</f>
        <v>0.12376426793157051</v>
      </c>
      <c r="AB133" s="66">
        <f t="shared" si="1186"/>
        <v>53265.4</v>
      </c>
      <c r="AC133" s="76">
        <f t="shared" si="1229"/>
        <v>10.987255395137126</v>
      </c>
      <c r="AD133" s="66">
        <f t="shared" si="1240"/>
        <v>74216.457333333325</v>
      </c>
    </row>
    <row r="134" spans="1:30" ht="16.899999999999999" customHeight="1" x14ac:dyDescent="0.25">
      <c r="A134" s="49" t="s">
        <v>185</v>
      </c>
      <c r="B134" s="66">
        <v>43000</v>
      </c>
      <c r="C134" s="66">
        <f t="shared" si="1241"/>
        <v>3583.3333333333335</v>
      </c>
      <c r="D134" s="82">
        <v>12529.35</v>
      </c>
      <c r="E134" s="75">
        <f t="shared" si="1208"/>
        <v>0.29138023255813955</v>
      </c>
      <c r="F134" s="82">
        <v>10102.620000000001</v>
      </c>
      <c r="G134" s="76">
        <f t="shared" si="1208"/>
        <v>0.23494465116279073</v>
      </c>
      <c r="H134" s="70">
        <f>1735.88-3148.85</f>
        <v>-1412.9699999999998</v>
      </c>
      <c r="I134" s="76">
        <f t="shared" ref="I134" si="1262">H134/$B134</f>
        <v>-3.2859767441860463E-2</v>
      </c>
      <c r="J134" s="70">
        <f>2359.1-1882.94</f>
        <v>476.15999999999985</v>
      </c>
      <c r="K134" s="76">
        <f t="shared" ref="K134" si="1263">J134/$B134</f>
        <v>1.1073488372093021E-2</v>
      </c>
      <c r="L134" s="70">
        <f>490.84-1420.63</f>
        <v>-929.79000000000019</v>
      </c>
      <c r="M134" s="76">
        <f t="shared" ref="M134" si="1264">L134/$B134</f>
        <v>-2.1623023255813958E-2</v>
      </c>
      <c r="N134" s="70">
        <v>2237.48</v>
      </c>
      <c r="O134" s="76">
        <f t="shared" ref="O134" si="1265">N134/$B134</f>
        <v>5.2034418604651161E-2</v>
      </c>
      <c r="P134" s="70">
        <v>1834</v>
      </c>
      <c r="Q134" s="76">
        <f t="shared" ref="Q134" si="1266">P134/$B134</f>
        <v>4.2651162790697673E-2</v>
      </c>
      <c r="R134" s="70">
        <f>2813.98</f>
        <v>2813.98</v>
      </c>
      <c r="S134" s="76">
        <f t="shared" ref="S134" si="1267">R134/$B134</f>
        <v>6.5441395348837209E-2</v>
      </c>
      <c r="T134" s="70">
        <v>6883.48</v>
      </c>
      <c r="U134" s="76">
        <f t="shared" ref="U134" si="1268">T134/$B134</f>
        <v>0.16008093023255812</v>
      </c>
      <c r="V134" s="70">
        <v>7521.23</v>
      </c>
      <c r="W134" s="76">
        <f t="shared" ref="W134" si="1269">V134/$B134</f>
        <v>0.17491232558139533</v>
      </c>
      <c r="X134" s="70">
        <v>4950</v>
      </c>
      <c r="Y134" s="76">
        <f t="shared" ref="Y134" si="1270">X134/$B134</f>
        <v>0.11511627906976744</v>
      </c>
      <c r="Z134" s="70">
        <v>2934.39</v>
      </c>
      <c r="AA134" s="76">
        <f t="shared" ref="AA134" si="1271">Z134/$B134</f>
        <v>6.8241627906976743E-2</v>
      </c>
      <c r="AB134" s="66">
        <f t="shared" si="1186"/>
        <v>49939.929999999993</v>
      </c>
      <c r="AC134" s="76">
        <f t="shared" si="1229"/>
        <v>1.1613937209302323</v>
      </c>
      <c r="AD134" s="66">
        <f t="shared" si="1240"/>
        <v>69582.969133333318</v>
      </c>
    </row>
    <row r="135" spans="1:30" x14ac:dyDescent="0.25">
      <c r="A135" s="49" t="s">
        <v>133</v>
      </c>
      <c r="B135" s="66">
        <v>12471.960000000001</v>
      </c>
      <c r="C135" s="66">
        <f t="shared" si="1241"/>
        <v>1039.3300000000002</v>
      </c>
      <c r="D135" s="82"/>
      <c r="E135" s="75">
        <f t="shared" si="1208"/>
        <v>0</v>
      </c>
      <c r="F135" s="82">
        <v>3199.5</v>
      </c>
      <c r="G135" s="76">
        <f t="shared" si="1208"/>
        <v>0.25653546034464508</v>
      </c>
      <c r="H135" s="70">
        <v>310</v>
      </c>
      <c r="I135" s="76">
        <f t="shared" ref="I135" si="1272">H135/$B135</f>
        <v>2.4855756432830122E-2</v>
      </c>
      <c r="J135" s="70"/>
      <c r="K135" s="76">
        <f t="shared" ref="K135" si="1273">J135/$B135</f>
        <v>0</v>
      </c>
      <c r="L135" s="70"/>
      <c r="M135" s="76">
        <f t="shared" ref="M135" si="1274">L135/$B135</f>
        <v>0</v>
      </c>
      <c r="N135" s="70"/>
      <c r="O135" s="76">
        <f t="shared" ref="O135" si="1275">N135/$B135</f>
        <v>0</v>
      </c>
      <c r="P135" s="70"/>
      <c r="Q135" s="76">
        <f t="shared" ref="Q135" si="1276">P135/$B135</f>
        <v>0</v>
      </c>
      <c r="R135" s="70">
        <v>207</v>
      </c>
      <c r="S135" s="76">
        <f t="shared" ref="S135" si="1277">R135/$B135</f>
        <v>1.6597230908373662E-2</v>
      </c>
      <c r="T135" s="70"/>
      <c r="U135" s="76">
        <f t="shared" ref="U135" si="1278">T135/$B135</f>
        <v>0</v>
      </c>
      <c r="V135" s="70"/>
      <c r="W135" s="76">
        <f t="shared" ref="W135" si="1279">V135/$B135</f>
        <v>0</v>
      </c>
      <c r="X135" s="70">
        <v>4200</v>
      </c>
      <c r="Y135" s="76">
        <f t="shared" ref="Y135" si="1280">X135/$B135</f>
        <v>0.33675540973511781</v>
      </c>
      <c r="Z135" s="70"/>
      <c r="AA135" s="76">
        <f t="shared" ref="AA135" si="1281">Z135/$B135</f>
        <v>0</v>
      </c>
      <c r="AB135" s="66">
        <f t="shared" si="1186"/>
        <v>7916.5</v>
      </c>
      <c r="AC135" s="76">
        <f t="shared" si="1229"/>
        <v>0.63474385742096662</v>
      </c>
      <c r="AD135" s="66">
        <f t="shared" si="1240"/>
        <v>11030.323333333334</v>
      </c>
    </row>
    <row r="136" spans="1:30" x14ac:dyDescent="0.25">
      <c r="A136" s="49" t="s">
        <v>155</v>
      </c>
      <c r="B136" s="66">
        <v>112389.26130000001</v>
      </c>
      <c r="C136" s="66">
        <f t="shared" si="1241"/>
        <v>9365.7717750000011</v>
      </c>
      <c r="D136" s="82">
        <v>1350</v>
      </c>
      <c r="E136" s="75">
        <f t="shared" si="1208"/>
        <v>1.2011823766653761E-2</v>
      </c>
      <c r="F136" s="82">
        <v>21753.03</v>
      </c>
      <c r="G136" s="76">
        <f t="shared" si="1208"/>
        <v>0.19355078722276464</v>
      </c>
      <c r="H136" s="70">
        <v>15482</v>
      </c>
      <c r="I136" s="76">
        <f t="shared" ref="I136" si="1282">H136/$B136</f>
        <v>0.13775337448543226</v>
      </c>
      <c r="J136" s="70">
        <v>8815.93</v>
      </c>
      <c r="K136" s="76">
        <f t="shared" ref="K136" si="1283">J136/$B136</f>
        <v>7.8441035184559929E-2</v>
      </c>
      <c r="L136" s="70">
        <v>26959.93</v>
      </c>
      <c r="M136" s="76">
        <f t="shared" ref="M136" si="1284">L136/$B136</f>
        <v>0.23987994660838649</v>
      </c>
      <c r="N136" s="70">
        <v>14818.9</v>
      </c>
      <c r="O136" s="76">
        <f t="shared" ref="O136" si="1285">N136/$B136</f>
        <v>0.13185334460419662</v>
      </c>
      <c r="P136" s="70">
        <v>31705.86</v>
      </c>
      <c r="Q136" s="76">
        <f t="shared" ref="Q136" si="1286">P136/$B136</f>
        <v>0.28210755754829397</v>
      </c>
      <c r="R136" s="70">
        <v>2785.61</v>
      </c>
      <c r="S136" s="76">
        <f t="shared" ref="S136" si="1287">R136/$B136</f>
        <v>2.4785375113058065E-2</v>
      </c>
      <c r="T136" s="70">
        <v>16248.14</v>
      </c>
      <c r="U136" s="76">
        <f t="shared" ref="U136" si="1288">T136/$B136</f>
        <v>0.14457021793771677</v>
      </c>
      <c r="V136" s="70">
        <v>16021.89</v>
      </c>
      <c r="W136" s="76">
        <f t="shared" ref="W136" si="1289">V136/$B136</f>
        <v>0.14255712525089795</v>
      </c>
      <c r="X136" s="70">
        <v>2120.96</v>
      </c>
      <c r="Y136" s="76">
        <f t="shared" ref="Y136" si="1290">X136/$B136</f>
        <v>1.8871553878608862E-2</v>
      </c>
      <c r="Z136" s="70">
        <v>10176.64</v>
      </c>
      <c r="AA136" s="76">
        <f t="shared" ref="AA136" si="1291">Z136/$B136</f>
        <v>9.0548152753095801E-2</v>
      </c>
      <c r="AB136" s="66">
        <f t="shared" si="1186"/>
        <v>168238.88999999996</v>
      </c>
      <c r="AC136" s="76">
        <f t="shared" si="1229"/>
        <v>1.4969302943536646</v>
      </c>
      <c r="AD136" s="66">
        <f t="shared" si="1240"/>
        <v>234412.85339999993</v>
      </c>
    </row>
    <row r="137" spans="1:30" s="65" customFormat="1" x14ac:dyDescent="0.25">
      <c r="A137" s="64" t="s">
        <v>149</v>
      </c>
      <c r="B137" s="66">
        <v>22000</v>
      </c>
      <c r="C137" s="66">
        <f t="shared" si="1241"/>
        <v>1833.3333333333333</v>
      </c>
      <c r="D137" s="70"/>
      <c r="E137" s="75">
        <f t="shared" si="1208"/>
        <v>0</v>
      </c>
      <c r="F137" s="70"/>
      <c r="G137" s="75">
        <f t="shared" si="1208"/>
        <v>0</v>
      </c>
      <c r="H137" s="70">
        <v>3777.12</v>
      </c>
      <c r="I137" s="75">
        <f t="shared" ref="I137" si="1292">H137/$B137</f>
        <v>0.17168727272727272</v>
      </c>
      <c r="J137" s="70"/>
      <c r="K137" s="75">
        <f t="shared" ref="K137" si="1293">J137/$B137</f>
        <v>0</v>
      </c>
      <c r="L137" s="70"/>
      <c r="M137" s="75">
        <f t="shared" ref="M137" si="1294">L137/$B137</f>
        <v>0</v>
      </c>
      <c r="N137" s="70"/>
      <c r="O137" s="75">
        <f t="shared" ref="O137" si="1295">N137/$B137</f>
        <v>0</v>
      </c>
      <c r="P137" s="70"/>
      <c r="Q137" s="75">
        <f t="shared" ref="Q137" si="1296">P137/$B137</f>
        <v>0</v>
      </c>
      <c r="R137" s="70"/>
      <c r="S137" s="75">
        <f t="shared" ref="S137" si="1297">R137/$B137</f>
        <v>0</v>
      </c>
      <c r="T137" s="70"/>
      <c r="U137" s="75">
        <f t="shared" ref="U137" si="1298">T137/$B137</f>
        <v>0</v>
      </c>
      <c r="V137" s="70"/>
      <c r="W137" s="75">
        <f t="shared" ref="W137" si="1299">V137/$B137</f>
        <v>0</v>
      </c>
      <c r="X137" s="70">
        <v>542</v>
      </c>
      <c r="Y137" s="75">
        <f t="shared" ref="Y137" si="1300">X137/$B137</f>
        <v>2.4636363636363637E-2</v>
      </c>
      <c r="Z137" s="70"/>
      <c r="AA137" s="75">
        <f t="shared" ref="AA137" si="1301">Z137/$B137</f>
        <v>0</v>
      </c>
      <c r="AB137" s="66">
        <f t="shared" si="1186"/>
        <v>4319.12</v>
      </c>
      <c r="AC137" s="75">
        <f t="shared" si="1229"/>
        <v>0.19632363636363637</v>
      </c>
      <c r="AD137" s="66">
        <f t="shared" si="1240"/>
        <v>6017.9738666666672</v>
      </c>
    </row>
    <row r="138" spans="1:30" x14ac:dyDescent="0.25">
      <c r="A138" s="50" t="s">
        <v>144</v>
      </c>
      <c r="B138" s="39">
        <v>0</v>
      </c>
      <c r="C138" s="39">
        <f t="shared" si="1241"/>
        <v>0</v>
      </c>
      <c r="D138" s="39">
        <f>D139</f>
        <v>0</v>
      </c>
      <c r="E138" s="80" t="e">
        <f t="shared" si="1208"/>
        <v>#DIV/0!</v>
      </c>
      <c r="F138" s="39">
        <f>F139</f>
        <v>0</v>
      </c>
      <c r="G138" s="80" t="e">
        <f t="shared" si="1208"/>
        <v>#DIV/0!</v>
      </c>
      <c r="H138" s="39">
        <f>H139</f>
        <v>0</v>
      </c>
      <c r="I138" s="80" t="e">
        <f t="shared" ref="I138" si="1302">H138/$B138</f>
        <v>#DIV/0!</v>
      </c>
      <c r="J138" s="39">
        <f>J139</f>
        <v>0</v>
      </c>
      <c r="K138" s="80" t="e">
        <f t="shared" ref="K138" si="1303">J138/$B138</f>
        <v>#DIV/0!</v>
      </c>
      <c r="L138" s="39">
        <f>L139</f>
        <v>0</v>
      </c>
      <c r="M138" s="80" t="e">
        <f t="shared" ref="M138" si="1304">L138/$B138</f>
        <v>#DIV/0!</v>
      </c>
      <c r="N138" s="39">
        <f>N139</f>
        <v>0</v>
      </c>
      <c r="O138" s="80" t="e">
        <f t="shared" ref="O138" si="1305">N138/$B138</f>
        <v>#DIV/0!</v>
      </c>
      <c r="P138" s="39">
        <f>P139</f>
        <v>0</v>
      </c>
      <c r="Q138" s="80" t="e">
        <f t="shared" ref="Q138" si="1306">P138/$B138</f>
        <v>#DIV/0!</v>
      </c>
      <c r="R138" s="39">
        <f>R139</f>
        <v>0</v>
      </c>
      <c r="S138" s="80" t="e">
        <f t="shared" ref="S138" si="1307">R138/$B138</f>
        <v>#DIV/0!</v>
      </c>
      <c r="T138" s="39">
        <f>T139</f>
        <v>0</v>
      </c>
      <c r="U138" s="80" t="e">
        <f t="shared" ref="U138" si="1308">T138/$B138</f>
        <v>#DIV/0!</v>
      </c>
      <c r="V138" s="39">
        <f>V139</f>
        <v>0</v>
      </c>
      <c r="W138" s="80" t="e">
        <f t="shared" ref="W138" si="1309">V138/$B138</f>
        <v>#DIV/0!</v>
      </c>
      <c r="X138" s="39">
        <f>X139</f>
        <v>0</v>
      </c>
      <c r="Y138" s="80" t="e">
        <f t="shared" ref="Y138" si="1310">X138/$B138</f>
        <v>#DIV/0!</v>
      </c>
      <c r="Z138" s="39">
        <f>Z139</f>
        <v>0</v>
      </c>
      <c r="AA138" s="80" t="e">
        <f t="shared" ref="AA138" si="1311">Z138/$B138</f>
        <v>#DIV/0!</v>
      </c>
      <c r="AB138" s="39">
        <f t="shared" ref="AB138" si="1312">AB139</f>
        <v>0</v>
      </c>
      <c r="AC138" s="80" t="e">
        <f t="shared" si="1229"/>
        <v>#DIV/0!</v>
      </c>
      <c r="AD138" s="39">
        <f>AD139</f>
        <v>0</v>
      </c>
    </row>
    <row r="139" spans="1:30" x14ac:dyDescent="0.25">
      <c r="A139" s="46" t="s">
        <v>145</v>
      </c>
      <c r="B139" s="38">
        <v>0</v>
      </c>
      <c r="C139" s="38">
        <f t="shared" si="1241"/>
        <v>0</v>
      </c>
      <c r="D139" s="38">
        <f>SUM(D140)</f>
        <v>0</v>
      </c>
      <c r="E139" s="78" t="e">
        <f t="shared" si="1208"/>
        <v>#DIV/0!</v>
      </c>
      <c r="F139" s="38">
        <f>SUM(F140)</f>
        <v>0</v>
      </c>
      <c r="G139" s="78" t="e">
        <f t="shared" si="1208"/>
        <v>#DIV/0!</v>
      </c>
      <c r="H139" s="38">
        <f>SUM(H140)</f>
        <v>0</v>
      </c>
      <c r="I139" s="78" t="e">
        <f t="shared" ref="I139" si="1313">H139/$B139</f>
        <v>#DIV/0!</v>
      </c>
      <c r="J139" s="38">
        <f>SUM(J140)</f>
        <v>0</v>
      </c>
      <c r="K139" s="78" t="e">
        <f t="shared" ref="K139" si="1314">J139/$B139</f>
        <v>#DIV/0!</v>
      </c>
      <c r="L139" s="38">
        <f>SUM(L140)</f>
        <v>0</v>
      </c>
      <c r="M139" s="78" t="e">
        <f t="shared" ref="M139" si="1315">L139/$B139</f>
        <v>#DIV/0!</v>
      </c>
      <c r="N139" s="38">
        <f>SUM(N140)</f>
        <v>0</v>
      </c>
      <c r="O139" s="78" t="e">
        <f t="shared" ref="O139" si="1316">N139/$B139</f>
        <v>#DIV/0!</v>
      </c>
      <c r="P139" s="38">
        <f>SUM(P140)</f>
        <v>0</v>
      </c>
      <c r="Q139" s="78" t="e">
        <f t="shared" ref="Q139" si="1317">P139/$B139</f>
        <v>#DIV/0!</v>
      </c>
      <c r="R139" s="38">
        <f>SUM(R140)</f>
        <v>0</v>
      </c>
      <c r="S139" s="78" t="e">
        <f t="shared" ref="S139" si="1318">R139/$B139</f>
        <v>#DIV/0!</v>
      </c>
      <c r="T139" s="38">
        <f>SUM(T140)</f>
        <v>0</v>
      </c>
      <c r="U139" s="78" t="e">
        <f t="shared" ref="U139" si="1319">T139/$B139</f>
        <v>#DIV/0!</v>
      </c>
      <c r="V139" s="38">
        <f>SUM(V140)</f>
        <v>0</v>
      </c>
      <c r="W139" s="78" t="e">
        <f t="shared" ref="W139" si="1320">V139/$B139</f>
        <v>#DIV/0!</v>
      </c>
      <c r="X139" s="38">
        <f>SUM(X140)</f>
        <v>0</v>
      </c>
      <c r="Y139" s="78" t="e">
        <f t="shared" ref="Y139" si="1321">X139/$B139</f>
        <v>#DIV/0!</v>
      </c>
      <c r="Z139" s="38">
        <f>SUM(Z140)</f>
        <v>0</v>
      </c>
      <c r="AA139" s="78" t="e">
        <f t="shared" ref="AA139" si="1322">Z139/$B139</f>
        <v>#DIV/0!</v>
      </c>
      <c r="AB139" s="38">
        <f t="shared" ref="AB139" si="1323">SUM(AB140)</f>
        <v>0</v>
      </c>
      <c r="AC139" s="78" t="e">
        <f t="shared" si="1229"/>
        <v>#DIV/0!</v>
      </c>
      <c r="AD139" s="38">
        <f>SUM(AD140)</f>
        <v>0</v>
      </c>
    </row>
    <row r="140" spans="1:30" x14ac:dyDescent="0.25">
      <c r="A140" s="47" t="s">
        <v>146</v>
      </c>
      <c r="B140" s="66">
        <v>0</v>
      </c>
      <c r="C140" s="66">
        <f t="shared" si="1241"/>
        <v>0</v>
      </c>
      <c r="D140" s="70"/>
      <c r="E140" s="76"/>
      <c r="F140" s="70"/>
      <c r="G140" s="76"/>
      <c r="H140" s="70"/>
      <c r="I140" s="76"/>
      <c r="J140" s="70"/>
      <c r="K140" s="76"/>
      <c r="L140" s="70"/>
      <c r="M140" s="76"/>
      <c r="N140" s="70"/>
      <c r="O140" s="76"/>
      <c r="P140" s="70"/>
      <c r="Q140" s="76"/>
      <c r="R140" s="70"/>
      <c r="S140" s="76"/>
      <c r="T140" s="70"/>
      <c r="U140" s="76"/>
      <c r="V140" s="70"/>
      <c r="W140" s="76"/>
      <c r="X140" s="70"/>
      <c r="Y140" s="76"/>
      <c r="Z140" s="70"/>
      <c r="AA140" s="76"/>
      <c r="AB140" s="66">
        <f>D140+F140+H140+J140+L140+N140+P140+R140+T140+V140+X140+Z140</f>
        <v>0</v>
      </c>
      <c r="AC140" s="76" t="e">
        <f t="shared" si="1229"/>
        <v>#DIV/0!</v>
      </c>
      <c r="AD140" s="66">
        <v>0</v>
      </c>
    </row>
    <row r="141" spans="1:30" x14ac:dyDescent="0.25">
      <c r="A141" s="50" t="s">
        <v>80</v>
      </c>
      <c r="B141" s="39">
        <v>175000</v>
      </c>
      <c r="C141" s="39">
        <f t="shared" si="1241"/>
        <v>14583.333333333334</v>
      </c>
      <c r="D141" s="39">
        <f>D142</f>
        <v>5664.15</v>
      </c>
      <c r="E141" s="80">
        <f t="shared" si="1208"/>
        <v>3.2366571428571425E-2</v>
      </c>
      <c r="F141" s="39">
        <f>F142</f>
        <v>14010.95</v>
      </c>
      <c r="G141" s="80">
        <f t="shared" si="1208"/>
        <v>8.0062571428571427E-2</v>
      </c>
      <c r="H141" s="39">
        <f>H142</f>
        <v>21842.94</v>
      </c>
      <c r="I141" s="80">
        <f t="shared" ref="I141" si="1324">H141/$B141</f>
        <v>0.12481679999999999</v>
      </c>
      <c r="J141" s="39">
        <f>J142</f>
        <v>11007.3</v>
      </c>
      <c r="K141" s="80">
        <f t="shared" ref="K141" si="1325">J141/$B141</f>
        <v>6.2898857142857145E-2</v>
      </c>
      <c r="L141" s="39">
        <f>L142</f>
        <v>19260.12</v>
      </c>
      <c r="M141" s="80">
        <f t="shared" ref="M141" si="1326">L141/$B141</f>
        <v>0.11005782857142857</v>
      </c>
      <c r="N141" s="39">
        <f>N142</f>
        <v>65538.649999999994</v>
      </c>
      <c r="O141" s="80">
        <f t="shared" ref="O141" si="1327">N141/$B141</f>
        <v>0.37450657142857141</v>
      </c>
      <c r="P141" s="39">
        <f>P142</f>
        <v>14781.61</v>
      </c>
      <c r="Q141" s="80">
        <f t="shared" ref="Q141" si="1328">P141/$B141</f>
        <v>8.4466342857142857E-2</v>
      </c>
      <c r="R141" s="39">
        <f>R142</f>
        <v>13006.43</v>
      </c>
      <c r="S141" s="80">
        <f t="shared" ref="S141" si="1329">R141/$B141</f>
        <v>7.4322457142857151E-2</v>
      </c>
      <c r="T141" s="39">
        <f>T142</f>
        <v>28428.02</v>
      </c>
      <c r="U141" s="80">
        <f t="shared" ref="U141" si="1330">T141/$B141</f>
        <v>0.16244582857142859</v>
      </c>
      <c r="V141" s="39">
        <f>V142</f>
        <v>22873.93</v>
      </c>
      <c r="W141" s="80">
        <f t="shared" ref="W141" si="1331">V141/$B141</f>
        <v>0.13070817142857144</v>
      </c>
      <c r="X141" s="39">
        <f>X142</f>
        <v>37551.910000000003</v>
      </c>
      <c r="Y141" s="80">
        <f t="shared" ref="Y141" si="1332">X141/$B141</f>
        <v>0.21458234285714287</v>
      </c>
      <c r="Z141" s="39">
        <f>Z142</f>
        <v>39292.83</v>
      </c>
      <c r="AA141" s="80">
        <f t="shared" ref="AA141" si="1333">Z141/$B141</f>
        <v>0.22453045714285716</v>
      </c>
      <c r="AB141" s="39">
        <f t="shared" ref="AB141" si="1334">AB142</f>
        <v>293258.83999999997</v>
      </c>
      <c r="AC141" s="80">
        <f t="shared" si="1229"/>
        <v>1.6757647999999998</v>
      </c>
      <c r="AD141" s="39">
        <f>AD142</f>
        <v>408607.31706666661</v>
      </c>
    </row>
    <row r="142" spans="1:30" x14ac:dyDescent="0.25">
      <c r="A142" s="46" t="s">
        <v>81</v>
      </c>
      <c r="B142" s="38">
        <v>175000</v>
      </c>
      <c r="C142" s="38">
        <f t="shared" si="1241"/>
        <v>14583.333333333334</v>
      </c>
      <c r="D142" s="38">
        <f>SUM(D143:D147)</f>
        <v>5664.15</v>
      </c>
      <c r="E142" s="78">
        <f t="shared" si="1208"/>
        <v>3.2366571428571425E-2</v>
      </c>
      <c r="F142" s="38">
        <f>SUM(F143:F147)</f>
        <v>14010.95</v>
      </c>
      <c r="G142" s="78">
        <f t="shared" si="1208"/>
        <v>8.0062571428571427E-2</v>
      </c>
      <c r="H142" s="38">
        <f>SUM(H143:H147)</f>
        <v>21842.94</v>
      </c>
      <c r="I142" s="78">
        <f t="shared" ref="I142" si="1335">H142/$B142</f>
        <v>0.12481679999999999</v>
      </c>
      <c r="J142" s="38">
        <f>SUM(J143:J147)</f>
        <v>11007.3</v>
      </c>
      <c r="K142" s="78">
        <f t="shared" ref="K142" si="1336">J142/$B142</f>
        <v>6.2898857142857145E-2</v>
      </c>
      <c r="L142" s="38">
        <f>SUM(L143:L147)</f>
        <v>19260.12</v>
      </c>
      <c r="M142" s="78">
        <f t="shared" ref="M142" si="1337">L142/$B142</f>
        <v>0.11005782857142857</v>
      </c>
      <c r="N142" s="38">
        <f>SUM(N143:N147)</f>
        <v>65538.649999999994</v>
      </c>
      <c r="O142" s="78">
        <f t="shared" ref="O142" si="1338">N142/$B142</f>
        <v>0.37450657142857141</v>
      </c>
      <c r="P142" s="38">
        <f>SUM(P143:P147)</f>
        <v>14781.61</v>
      </c>
      <c r="Q142" s="78">
        <f t="shared" ref="Q142" si="1339">P142/$B142</f>
        <v>8.4466342857142857E-2</v>
      </c>
      <c r="R142" s="38">
        <f>SUM(R143:R147)</f>
        <v>13006.43</v>
      </c>
      <c r="S142" s="78">
        <f t="shared" ref="S142" si="1340">R142/$B142</f>
        <v>7.4322457142857151E-2</v>
      </c>
      <c r="T142" s="38">
        <f>SUM(T143:T147)</f>
        <v>28428.02</v>
      </c>
      <c r="U142" s="78">
        <f t="shared" ref="U142" si="1341">T142/$B142</f>
        <v>0.16244582857142859</v>
      </c>
      <c r="V142" s="38">
        <f>SUM(V143:V147)</f>
        <v>22873.93</v>
      </c>
      <c r="W142" s="78">
        <f t="shared" ref="W142" si="1342">V142/$B142</f>
        <v>0.13070817142857144</v>
      </c>
      <c r="X142" s="38">
        <f>SUM(X143:X147)</f>
        <v>37551.910000000003</v>
      </c>
      <c r="Y142" s="78">
        <f t="shared" ref="Y142" si="1343">X142/$B142</f>
        <v>0.21458234285714287</v>
      </c>
      <c r="Z142" s="38">
        <f>SUM(Z143:Z147)</f>
        <v>39292.83</v>
      </c>
      <c r="AA142" s="78">
        <f t="shared" ref="AA142" si="1344">Z142/$B142</f>
        <v>0.22453045714285716</v>
      </c>
      <c r="AB142" s="38">
        <f t="shared" ref="AB142" si="1345">SUM(AB143:AB147)</f>
        <v>293258.83999999997</v>
      </c>
      <c r="AC142" s="78">
        <f t="shared" si="1229"/>
        <v>1.6757647999999998</v>
      </c>
      <c r="AD142" s="38">
        <f>SUM(AD143:AD147)</f>
        <v>408607.31706666661</v>
      </c>
    </row>
    <row r="143" spans="1:30" x14ac:dyDescent="0.25">
      <c r="A143" s="47" t="s">
        <v>82</v>
      </c>
      <c r="B143" s="66">
        <v>15000</v>
      </c>
      <c r="C143" s="66">
        <f t="shared" si="1241"/>
        <v>1250</v>
      </c>
      <c r="D143" s="82">
        <v>1276</v>
      </c>
      <c r="E143" s="75">
        <f t="shared" si="1208"/>
        <v>8.5066666666666665E-2</v>
      </c>
      <c r="F143" s="82">
        <v>1248</v>
      </c>
      <c r="G143" s="76">
        <f t="shared" si="1208"/>
        <v>8.3199999999999996E-2</v>
      </c>
      <c r="H143" s="70">
        <v>4395</v>
      </c>
      <c r="I143" s="76">
        <f t="shared" ref="I143" si="1346">H143/$B143</f>
        <v>0.29299999999999998</v>
      </c>
      <c r="J143" s="70">
        <v>3000</v>
      </c>
      <c r="K143" s="76">
        <f t="shared" ref="K143" si="1347">J143/$B143</f>
        <v>0.2</v>
      </c>
      <c r="L143" s="70">
        <v>3000</v>
      </c>
      <c r="M143" s="76">
        <f t="shared" ref="M143" si="1348">L143/$B143</f>
        <v>0.2</v>
      </c>
      <c r="N143" s="70">
        <v>3000</v>
      </c>
      <c r="O143" s="76">
        <f t="shared" ref="O143" si="1349">N143/$B143</f>
        <v>0.2</v>
      </c>
      <c r="P143" s="70">
        <v>3000</v>
      </c>
      <c r="Q143" s="76">
        <f t="shared" ref="Q143" si="1350">P143/$B143</f>
        <v>0.2</v>
      </c>
      <c r="R143" s="70">
        <v>4480</v>
      </c>
      <c r="S143" s="76">
        <f t="shared" ref="S143" si="1351">R143/$B143</f>
        <v>0.29866666666666669</v>
      </c>
      <c r="T143" s="70">
        <v>3000</v>
      </c>
      <c r="U143" s="76">
        <f t="shared" ref="U143" si="1352">T143/$B143</f>
        <v>0.2</v>
      </c>
      <c r="V143" s="70">
        <v>3253</v>
      </c>
      <c r="W143" s="76">
        <f t="shared" ref="W143" si="1353">V143/$B143</f>
        <v>0.21686666666666668</v>
      </c>
      <c r="X143" s="70">
        <v>3000</v>
      </c>
      <c r="Y143" s="76">
        <f t="shared" ref="Y143" si="1354">X143/$B143</f>
        <v>0.2</v>
      </c>
      <c r="Z143" s="70">
        <v>3000</v>
      </c>
      <c r="AA143" s="76">
        <f t="shared" ref="AA143" si="1355">Z143/$B143</f>
        <v>0.2</v>
      </c>
      <c r="AB143" s="66">
        <f t="shared" ref="AB143:AB147" si="1356">D143+F143+H143+J143+L143+N143+P143+R143+T143+V143+X143+Z143</f>
        <v>35652</v>
      </c>
      <c r="AC143" s="76">
        <f t="shared" si="1229"/>
        <v>2.3767999999999998</v>
      </c>
      <c r="AD143" s="66">
        <f t="shared" ref="AD143:AD151" si="1357">((AB143/9)*$AE$3)*12</f>
        <v>49675.119999999995</v>
      </c>
    </row>
    <row r="144" spans="1:30" ht="16.899999999999999" customHeight="1" x14ac:dyDescent="0.25">
      <c r="A144" s="48" t="s">
        <v>83</v>
      </c>
      <c r="B144" s="66">
        <v>100000</v>
      </c>
      <c r="C144" s="66">
        <f t="shared" si="1241"/>
        <v>8333.3333333333339</v>
      </c>
      <c r="D144" s="82">
        <v>4388.1499999999996</v>
      </c>
      <c r="E144" s="75">
        <f t="shared" si="1208"/>
        <v>4.3881499999999997E-2</v>
      </c>
      <c r="F144" s="82">
        <v>12123.95</v>
      </c>
      <c r="G144" s="76">
        <f t="shared" si="1208"/>
        <v>0.12123950000000001</v>
      </c>
      <c r="H144" s="70">
        <f>14365.35-100</f>
        <v>14265.35</v>
      </c>
      <c r="I144" s="76">
        <f t="shared" ref="I144" si="1358">H144/$B144</f>
        <v>0.14265350000000002</v>
      </c>
      <c r="J144" s="70">
        <v>5404.09</v>
      </c>
      <c r="K144" s="76">
        <f t="shared" ref="K144" si="1359">J144/$B144</f>
        <v>5.4040900000000003E-2</v>
      </c>
      <c r="L144" s="70">
        <f>13349.75-1141.07</f>
        <v>12208.68</v>
      </c>
      <c r="M144" s="76">
        <f t="shared" ref="M144" si="1360">L144/$B144</f>
        <v>0.12208680000000001</v>
      </c>
      <c r="N144" s="70">
        <f>33136.08-650</f>
        <v>32486.080000000002</v>
      </c>
      <c r="O144" s="76">
        <f t="shared" ref="O144" si="1361">N144/$B144</f>
        <v>0.32486080000000001</v>
      </c>
      <c r="P144" s="70">
        <v>5820.51</v>
      </c>
      <c r="Q144" s="76">
        <f t="shared" ref="Q144" si="1362">P144/$B144</f>
        <v>5.8205100000000003E-2</v>
      </c>
      <c r="R144" s="70">
        <v>4344.83</v>
      </c>
      <c r="S144" s="76">
        <f t="shared" ref="S144" si="1363">R144/$B144</f>
        <v>4.3448300000000002E-2</v>
      </c>
      <c r="T144" s="70">
        <v>10633.76</v>
      </c>
      <c r="U144" s="76">
        <f t="shared" ref="U144" si="1364">T144/$B144</f>
        <v>0.1063376</v>
      </c>
      <c r="V144" s="70">
        <v>9884.09</v>
      </c>
      <c r="W144" s="76">
        <f t="shared" ref="W144" si="1365">V144/$B144</f>
        <v>9.8840899999999995E-2</v>
      </c>
      <c r="X144" s="70">
        <v>27505.56</v>
      </c>
      <c r="Y144" s="76">
        <f t="shared" ref="Y144" si="1366">X144/$B144</f>
        <v>0.27505560000000001</v>
      </c>
      <c r="Z144" s="70">
        <f>21777.56-1150.44</f>
        <v>20627.120000000003</v>
      </c>
      <c r="AA144" s="76">
        <f t="shared" ref="AA144" si="1367">Z144/$B144</f>
        <v>0.20627120000000002</v>
      </c>
      <c r="AB144" s="66">
        <f t="shared" si="1356"/>
        <v>159692.16999999998</v>
      </c>
      <c r="AC144" s="76">
        <f t="shared" si="1229"/>
        <v>1.5969216999999998</v>
      </c>
      <c r="AD144" s="66">
        <f t="shared" si="1357"/>
        <v>222504.42353333329</v>
      </c>
    </row>
    <row r="145" spans="1:30" x14ac:dyDescent="0.25">
      <c r="A145" s="47" t="s">
        <v>84</v>
      </c>
      <c r="B145" s="66">
        <v>15000</v>
      </c>
      <c r="C145" s="66">
        <f t="shared" si="1241"/>
        <v>1250</v>
      </c>
      <c r="D145" s="82"/>
      <c r="E145" s="75">
        <f t="shared" si="1208"/>
        <v>0</v>
      </c>
      <c r="F145" s="82">
        <v>250</v>
      </c>
      <c r="G145" s="76">
        <f t="shared" si="1208"/>
        <v>1.6666666666666666E-2</v>
      </c>
      <c r="H145" s="70"/>
      <c r="I145" s="76">
        <f t="shared" ref="I145" si="1368">H145/$B145</f>
        <v>0</v>
      </c>
      <c r="J145" s="70">
        <v>1158.21</v>
      </c>
      <c r="K145" s="76">
        <f t="shared" ref="K145" si="1369">J145/$B145</f>
        <v>7.7214000000000005E-2</v>
      </c>
      <c r="L145" s="70">
        <v>3176.35</v>
      </c>
      <c r="M145" s="76">
        <f t="shared" ref="M145" si="1370">L145/$B145</f>
        <v>0.21175666666666665</v>
      </c>
      <c r="N145" s="70">
        <f>7801-79.4</f>
        <v>7721.6</v>
      </c>
      <c r="O145" s="76">
        <f t="shared" ref="O145" si="1371">N145/$B145</f>
        <v>0.51477333333333331</v>
      </c>
      <c r="P145" s="70">
        <v>920</v>
      </c>
      <c r="Q145" s="76">
        <f t="shared" ref="Q145" si="1372">P145/$B145</f>
        <v>6.133333333333333E-2</v>
      </c>
      <c r="R145" s="70">
        <v>2546.5300000000002</v>
      </c>
      <c r="S145" s="76">
        <f t="shared" ref="S145" si="1373">R145/$B145</f>
        <v>0.16976866666666668</v>
      </c>
      <c r="T145" s="70">
        <v>4295.76</v>
      </c>
      <c r="U145" s="76">
        <f t="shared" ref="U145" si="1374">T145/$B145</f>
        <v>0.28638400000000003</v>
      </c>
      <c r="V145" s="70">
        <f>8584.18-172.34</f>
        <v>8411.84</v>
      </c>
      <c r="W145" s="76">
        <f t="shared" ref="W145" si="1375">V145/$B145</f>
        <v>0.56078933333333336</v>
      </c>
      <c r="X145" s="70">
        <f>650-8.1</f>
        <v>641.9</v>
      </c>
      <c r="Y145" s="76">
        <f t="shared" ref="Y145" si="1376">X145/$B145</f>
        <v>4.2793333333333329E-2</v>
      </c>
      <c r="Z145" s="70">
        <f>997.02-25.11</f>
        <v>971.91</v>
      </c>
      <c r="AA145" s="76">
        <f t="shared" ref="AA145" si="1377">Z145/$B145</f>
        <v>6.4794000000000004E-2</v>
      </c>
      <c r="AB145" s="66">
        <f t="shared" si="1356"/>
        <v>30094.100000000002</v>
      </c>
      <c r="AC145" s="76">
        <f t="shared" si="1229"/>
        <v>2.0062733333333336</v>
      </c>
      <c r="AD145" s="66">
        <f t="shared" si="1357"/>
        <v>41931.112666666668</v>
      </c>
    </row>
    <row r="146" spans="1:30" x14ac:dyDescent="0.25">
      <c r="A146" s="47" t="s">
        <v>85</v>
      </c>
      <c r="B146" s="66">
        <v>30000</v>
      </c>
      <c r="C146" s="66">
        <f t="shared" si="1241"/>
        <v>2500</v>
      </c>
      <c r="D146" s="82"/>
      <c r="E146" s="75">
        <f t="shared" si="1208"/>
        <v>0</v>
      </c>
      <c r="F146" s="82"/>
      <c r="G146" s="76">
        <f t="shared" si="1208"/>
        <v>0</v>
      </c>
      <c r="H146" s="70"/>
      <c r="I146" s="76">
        <f t="shared" ref="I146" si="1378">H146/$B146</f>
        <v>0</v>
      </c>
      <c r="J146" s="70"/>
      <c r="K146" s="76">
        <f t="shared" ref="K146" si="1379">J146/$B146</f>
        <v>0</v>
      </c>
      <c r="L146" s="70"/>
      <c r="M146" s="76">
        <f t="shared" ref="M146" si="1380">L146/$B146</f>
        <v>0</v>
      </c>
      <c r="N146" s="70"/>
      <c r="O146" s="76">
        <f t="shared" ref="O146" si="1381">N146/$B146</f>
        <v>0</v>
      </c>
      <c r="P146" s="70"/>
      <c r="Q146" s="76">
        <f t="shared" ref="Q146" si="1382">P146/$B146</f>
        <v>0</v>
      </c>
      <c r="R146" s="70"/>
      <c r="S146" s="76">
        <f t="shared" ref="S146" si="1383">R146/$B146</f>
        <v>0</v>
      </c>
      <c r="T146" s="70">
        <v>1099.8</v>
      </c>
      <c r="U146" s="76">
        <f t="shared" ref="U146" si="1384">T146/$B146</f>
        <v>3.6659999999999998E-2</v>
      </c>
      <c r="V146" s="70"/>
      <c r="W146" s="76">
        <f t="shared" ref="W146" si="1385">V146/$B146</f>
        <v>0</v>
      </c>
      <c r="X146" s="70">
        <v>1900</v>
      </c>
      <c r="Y146" s="76">
        <f t="shared" ref="Y146" si="1386">X146/$B146</f>
        <v>6.3333333333333339E-2</v>
      </c>
      <c r="Z146" s="70">
        <v>13100</v>
      </c>
      <c r="AA146" s="76">
        <f t="shared" ref="AA146" si="1387">Z146/$B146</f>
        <v>0.43666666666666665</v>
      </c>
      <c r="AB146" s="66">
        <f t="shared" si="1356"/>
        <v>16099.8</v>
      </c>
      <c r="AC146" s="76">
        <f t="shared" si="1229"/>
        <v>0.53666000000000003</v>
      </c>
      <c r="AD146" s="66">
        <f t="shared" si="1357"/>
        <v>22432.387999999995</v>
      </c>
    </row>
    <row r="147" spans="1:30" x14ac:dyDescent="0.25">
      <c r="A147" s="51" t="s">
        <v>86</v>
      </c>
      <c r="B147" s="66">
        <v>15000</v>
      </c>
      <c r="C147" s="66">
        <f t="shared" si="1241"/>
        <v>1250</v>
      </c>
      <c r="D147" s="82"/>
      <c r="E147" s="75">
        <f t="shared" si="1208"/>
        <v>0</v>
      </c>
      <c r="F147" s="82">
        <v>389</v>
      </c>
      <c r="G147" s="76">
        <f t="shared" si="1208"/>
        <v>2.5933333333333333E-2</v>
      </c>
      <c r="H147" s="70">
        <v>3182.59</v>
      </c>
      <c r="I147" s="76">
        <f t="shared" ref="I147" si="1388">H147/$B147</f>
        <v>0.21217266666666668</v>
      </c>
      <c r="J147" s="70">
        <v>1445</v>
      </c>
      <c r="K147" s="76">
        <f t="shared" ref="K147" si="1389">J147/$B147</f>
        <v>9.633333333333334E-2</v>
      </c>
      <c r="L147" s="70">
        <v>875.09</v>
      </c>
      <c r="M147" s="76">
        <f t="shared" ref="M147" si="1390">L147/$B147</f>
        <v>5.8339333333333333E-2</v>
      </c>
      <c r="N147" s="70">
        <f>22330.97</f>
        <v>22330.97</v>
      </c>
      <c r="O147" s="76">
        <f t="shared" ref="O147" si="1391">N147/$B147</f>
        <v>1.4887313333333334</v>
      </c>
      <c r="P147" s="70">
        <v>5041.1000000000004</v>
      </c>
      <c r="Q147" s="76">
        <f t="shared" ref="Q147" si="1392">P147/$B147</f>
        <v>0.33607333333333334</v>
      </c>
      <c r="R147" s="70">
        <v>1635.07</v>
      </c>
      <c r="S147" s="76">
        <f t="shared" ref="S147" si="1393">R147/$B147</f>
        <v>0.10900466666666667</v>
      </c>
      <c r="T147" s="70">
        <v>9398.7000000000007</v>
      </c>
      <c r="U147" s="76">
        <f t="shared" ref="U147" si="1394">T147/$B147</f>
        <v>0.62658000000000003</v>
      </c>
      <c r="V147" s="70">
        <v>1325</v>
      </c>
      <c r="W147" s="76">
        <f t="shared" ref="W147" si="1395">V147/$B147</f>
        <v>8.8333333333333333E-2</v>
      </c>
      <c r="X147" s="70">
        <v>4504.45</v>
      </c>
      <c r="Y147" s="76">
        <f t="shared" ref="Y147" si="1396">X147/$B147</f>
        <v>0.30029666666666666</v>
      </c>
      <c r="Z147" s="70">
        <v>1593.8</v>
      </c>
      <c r="AA147" s="76">
        <f t="shared" ref="AA147" si="1397">Z147/$B147</f>
        <v>0.10625333333333332</v>
      </c>
      <c r="AB147" s="66">
        <f t="shared" si="1356"/>
        <v>51720.770000000004</v>
      </c>
      <c r="AC147" s="76">
        <f t="shared" si="1229"/>
        <v>3.4480513333333338</v>
      </c>
      <c r="AD147" s="66">
        <f t="shared" si="1357"/>
        <v>72064.272866666666</v>
      </c>
    </row>
    <row r="148" spans="1:30" x14ac:dyDescent="0.25">
      <c r="A148" s="46" t="s">
        <v>87</v>
      </c>
      <c r="B148" s="38">
        <v>33019.674899999998</v>
      </c>
      <c r="C148" s="38">
        <f t="shared" si="1241"/>
        <v>2751.6395749999997</v>
      </c>
      <c r="D148" s="38">
        <f>SUM(D149:D151)</f>
        <v>2678.15</v>
      </c>
      <c r="E148" s="78">
        <f t="shared" si="1208"/>
        <v>8.1107703455917432E-2</v>
      </c>
      <c r="F148" s="38">
        <f>SUM(F149:F151)</f>
        <v>1629.99</v>
      </c>
      <c r="G148" s="78">
        <f t="shared" si="1208"/>
        <v>4.9364204975864259E-2</v>
      </c>
      <c r="H148" s="38">
        <f>SUM(H149:H151)</f>
        <v>1940.08</v>
      </c>
      <c r="I148" s="78">
        <f t="shared" ref="I148" si="1398">H148/$B148</f>
        <v>5.8755272602638499E-2</v>
      </c>
      <c r="J148" s="38">
        <f>SUM(J149:J151)</f>
        <v>2693.9300000000003</v>
      </c>
      <c r="K148" s="78">
        <f t="shared" ref="K148" si="1399">J148/$B148</f>
        <v>8.1585600347627907E-2</v>
      </c>
      <c r="L148" s="38">
        <f>SUM(L149:L151)</f>
        <v>2126.0300000000002</v>
      </c>
      <c r="M148" s="78">
        <f t="shared" ref="M148" si="1400">L148/$B148</f>
        <v>6.4386763541393929E-2</v>
      </c>
      <c r="N148" s="38">
        <f>SUM(N149:N151)</f>
        <v>3800.7200000000003</v>
      </c>
      <c r="O148" s="78">
        <f t="shared" ref="O148" si="1401">N148/$B148</f>
        <v>0.11510470686069657</v>
      </c>
      <c r="P148" s="38">
        <f>SUM(P149:P151)</f>
        <v>3244.28</v>
      </c>
      <c r="Q148" s="78">
        <f t="shared" ref="Q148" si="1402">P148/$B148</f>
        <v>9.8252935857948143E-2</v>
      </c>
      <c r="R148" s="38">
        <f>SUM(R149:R151)</f>
        <v>2791.3099999999995</v>
      </c>
      <c r="S148" s="78">
        <f t="shared" ref="S148" si="1403">R148/$B148</f>
        <v>8.453475112803123E-2</v>
      </c>
      <c r="T148" s="38">
        <f>SUM(T149:T151)</f>
        <v>4111.08</v>
      </c>
      <c r="U148" s="78">
        <f t="shared" ref="U148" si="1404">T148/$B148</f>
        <v>0.12450395143048486</v>
      </c>
      <c r="V148" s="38">
        <f>SUM(V149:V151)</f>
        <v>212.77999999999997</v>
      </c>
      <c r="W148" s="78">
        <f t="shared" ref="W148" si="1405">V148/$B148</f>
        <v>6.4440367945597186E-3</v>
      </c>
      <c r="X148" s="38">
        <f>SUM(X149:X151)</f>
        <v>1982.7</v>
      </c>
      <c r="Y148" s="78">
        <f t="shared" ref="Y148" si="1406">X148/$B148</f>
        <v>6.0046018199894517E-2</v>
      </c>
      <c r="Z148" s="38">
        <f>SUM(Z149:Z151)</f>
        <v>8595.32</v>
      </c>
      <c r="AA148" s="78">
        <f t="shared" ref="AA148" si="1407">Z148/$B148</f>
        <v>0.26030904380587949</v>
      </c>
      <c r="AB148" s="38">
        <f t="shared" ref="AB148" si="1408">SUM(AB149:AB151)</f>
        <v>35806.370000000003</v>
      </c>
      <c r="AC148" s="78">
        <f t="shared" si="1229"/>
        <v>1.0843949890009366</v>
      </c>
      <c r="AD148" s="38">
        <f>SUM(AD149:AD151)</f>
        <v>49890.20886666666</v>
      </c>
    </row>
    <row r="149" spans="1:30" x14ac:dyDescent="0.25">
      <c r="A149" s="47" t="s">
        <v>88</v>
      </c>
      <c r="B149" s="66">
        <v>5000</v>
      </c>
      <c r="C149" s="66">
        <f t="shared" si="1241"/>
        <v>416.66666666666669</v>
      </c>
      <c r="D149" s="82"/>
      <c r="E149" s="75">
        <f t="shared" si="1208"/>
        <v>0</v>
      </c>
      <c r="F149" s="82"/>
      <c r="G149" s="76">
        <f t="shared" si="1208"/>
        <v>0</v>
      </c>
      <c r="H149" s="70"/>
      <c r="I149" s="76">
        <f t="shared" ref="I149" si="1409">H149/$B149</f>
        <v>0</v>
      </c>
      <c r="J149" s="70"/>
      <c r="K149" s="76">
        <f t="shared" ref="K149" si="1410">J149/$B149</f>
        <v>0</v>
      </c>
      <c r="L149" s="70"/>
      <c r="M149" s="76">
        <f t="shared" ref="M149" si="1411">L149/$B149</f>
        <v>0</v>
      </c>
      <c r="N149" s="70">
        <v>1808.58</v>
      </c>
      <c r="O149" s="76">
        <f t="shared" ref="O149" si="1412">N149/$B149</f>
        <v>0.36171599999999998</v>
      </c>
      <c r="P149" s="70">
        <v>300.3</v>
      </c>
      <c r="Q149" s="76">
        <f t="shared" ref="Q149" si="1413">P149/$B149</f>
        <v>6.0060000000000002E-2</v>
      </c>
      <c r="R149" s="70">
        <v>1221.76</v>
      </c>
      <c r="S149" s="76">
        <f t="shared" ref="S149" si="1414">R149/$B149</f>
        <v>0.24435199999999999</v>
      </c>
      <c r="T149" s="70">
        <v>2260.9</v>
      </c>
      <c r="U149" s="76">
        <f t="shared" ref="U149" si="1415">T149/$B149</f>
        <v>0.45218000000000003</v>
      </c>
      <c r="V149" s="70">
        <f>171.39-130</f>
        <v>41.389999999999986</v>
      </c>
      <c r="W149" s="76">
        <f t="shared" ref="W149" si="1416">V149/$B149</f>
        <v>8.2779999999999972E-3</v>
      </c>
      <c r="X149" s="70"/>
      <c r="Y149" s="76">
        <f t="shared" ref="Y149" si="1417">X149/$B149</f>
        <v>0</v>
      </c>
      <c r="Z149" s="70">
        <v>6270</v>
      </c>
      <c r="AA149" s="76">
        <f t="shared" ref="AA149" si="1418">Z149/$B149</f>
        <v>1.254</v>
      </c>
      <c r="AB149" s="66">
        <f t="shared" ref="AB149:AB151" si="1419">D149+F149+H149+J149+L149+N149+P149+R149+T149+V149+X149+Z149</f>
        <v>11902.93</v>
      </c>
      <c r="AC149" s="76">
        <f t="shared" si="1229"/>
        <v>2.3805860000000001</v>
      </c>
      <c r="AD149" s="66">
        <f t="shared" si="1357"/>
        <v>16584.749133333331</v>
      </c>
    </row>
    <row r="150" spans="1:30" x14ac:dyDescent="0.25">
      <c r="A150" s="49" t="s">
        <v>89</v>
      </c>
      <c r="B150" s="66">
        <v>25519.674900000002</v>
      </c>
      <c r="C150" s="66">
        <f t="shared" si="1241"/>
        <v>2126.6395750000001</v>
      </c>
      <c r="D150" s="82">
        <v>2650.44</v>
      </c>
      <c r="E150" s="75">
        <f t="shared" si="1208"/>
        <v>0.1038586898299398</v>
      </c>
      <c r="F150" s="82">
        <v>1604.26</v>
      </c>
      <c r="G150" s="76">
        <f t="shared" si="1208"/>
        <v>6.286365348643215E-2</v>
      </c>
      <c r="H150" s="70">
        <v>1887.74</v>
      </c>
      <c r="I150" s="76">
        <f t="shared" ref="I150" si="1420">H150/$B150</f>
        <v>7.39719454654965E-2</v>
      </c>
      <c r="J150" s="70">
        <v>2470.0700000000002</v>
      </c>
      <c r="K150" s="76">
        <f t="shared" ref="K150" si="1421">J150/$B150</f>
        <v>9.6790809823364951E-2</v>
      </c>
      <c r="L150" s="70">
        <v>2049.4</v>
      </c>
      <c r="M150" s="76">
        <f t="shared" ref="M150" si="1422">L150/$B150</f>
        <v>8.0306665662108409E-2</v>
      </c>
      <c r="N150" s="70">
        <v>1910.88</v>
      </c>
      <c r="O150" s="76">
        <f t="shared" ref="O150" si="1423">N150/$B150</f>
        <v>7.4878696828539926E-2</v>
      </c>
      <c r="P150" s="70">
        <v>2844.31</v>
      </c>
      <c r="Q150" s="76">
        <f t="shared" ref="Q150" si="1424">P150/$B150</f>
        <v>0.11145557344071023</v>
      </c>
      <c r="R150" s="70">
        <v>1455.06</v>
      </c>
      <c r="S150" s="76">
        <f t="shared" ref="S150" si="1425">R150/$B150</f>
        <v>5.7017184023766689E-2</v>
      </c>
      <c r="T150" s="70">
        <v>1714.8</v>
      </c>
      <c r="U150" s="76">
        <f t="shared" ref="U150" si="1426">T150/$B150</f>
        <v>6.7195213368490048E-2</v>
      </c>
      <c r="V150" s="70"/>
      <c r="W150" s="76">
        <f t="shared" ref="W150" si="1427">V150/$B150</f>
        <v>0</v>
      </c>
      <c r="X150" s="70">
        <f>1597.53+119.52+128.91</f>
        <v>1845.96</v>
      </c>
      <c r="Y150" s="76">
        <f t="shared" ref="Y150" si="1428">X150/$B150</f>
        <v>7.2334777274141532E-2</v>
      </c>
      <c r="Z150" s="70">
        <v>2100.83</v>
      </c>
      <c r="AA150" s="76">
        <f t="shared" ref="AA150" si="1429">Z150/$B150</f>
        <v>8.2321973466832829E-2</v>
      </c>
      <c r="AB150" s="66">
        <f t="shared" si="1419"/>
        <v>22533.75</v>
      </c>
      <c r="AC150" s="76">
        <f t="shared" si="1229"/>
        <v>0.88299518266982302</v>
      </c>
      <c r="AD150" s="66">
        <f t="shared" si="1357"/>
        <v>31397.024999999998</v>
      </c>
    </row>
    <row r="151" spans="1:30" x14ac:dyDescent="0.25">
      <c r="A151" s="47" t="s">
        <v>90</v>
      </c>
      <c r="B151" s="66">
        <v>2500</v>
      </c>
      <c r="C151" s="66">
        <f t="shared" si="1241"/>
        <v>208.33333333333334</v>
      </c>
      <c r="D151" s="82">
        <v>27.71</v>
      </c>
      <c r="E151" s="75">
        <f t="shared" si="1208"/>
        <v>1.1084E-2</v>
      </c>
      <c r="F151" s="82">
        <v>25.73</v>
      </c>
      <c r="G151" s="76">
        <f t="shared" si="1208"/>
        <v>1.0292000000000001E-2</v>
      </c>
      <c r="H151" s="70">
        <v>52.34</v>
      </c>
      <c r="I151" s="76">
        <f t="shared" ref="I151" si="1430">H151/$B151</f>
        <v>2.0936E-2</v>
      </c>
      <c r="J151" s="70">
        <v>223.86</v>
      </c>
      <c r="K151" s="76">
        <f t="shared" ref="K151" si="1431">J151/$B151</f>
        <v>8.9543999999999999E-2</v>
      </c>
      <c r="L151" s="70">
        <v>76.63</v>
      </c>
      <c r="M151" s="76">
        <f t="shared" ref="M151" si="1432">L151/$B151</f>
        <v>3.0651999999999999E-2</v>
      </c>
      <c r="N151" s="70">
        <v>81.260000000000005</v>
      </c>
      <c r="O151" s="76">
        <f t="shared" ref="O151" si="1433">N151/$B151</f>
        <v>3.2504000000000005E-2</v>
      </c>
      <c r="P151" s="70">
        <v>99.67</v>
      </c>
      <c r="Q151" s="76">
        <f t="shared" ref="Q151" si="1434">P151/$B151</f>
        <v>3.9868000000000001E-2</v>
      </c>
      <c r="R151" s="70">
        <v>114.49</v>
      </c>
      <c r="S151" s="76">
        <f t="shared" ref="S151" si="1435">R151/$B151</f>
        <v>4.5795999999999996E-2</v>
      </c>
      <c r="T151" s="70">
        <v>135.38</v>
      </c>
      <c r="U151" s="76">
        <f t="shared" ref="U151" si="1436">T151/$B151</f>
        <v>5.4151999999999999E-2</v>
      </c>
      <c r="V151" s="70">
        <v>171.39</v>
      </c>
      <c r="W151" s="76">
        <f t="shared" ref="W151" si="1437">V151/$B151</f>
        <v>6.8555999999999992E-2</v>
      </c>
      <c r="X151" s="70">
        <v>136.74</v>
      </c>
      <c r="Y151" s="76">
        <f t="shared" ref="Y151" si="1438">X151/$B151</f>
        <v>5.4696000000000002E-2</v>
      </c>
      <c r="Z151" s="70">
        <v>224.49</v>
      </c>
      <c r="AA151" s="76">
        <f t="shared" ref="AA151" si="1439">Z151/$B151</f>
        <v>8.9796000000000001E-2</v>
      </c>
      <c r="AB151" s="66">
        <f t="shared" si="1419"/>
        <v>1369.6899999999998</v>
      </c>
      <c r="AC151" s="76">
        <f t="shared" si="1229"/>
        <v>0.54787599999999992</v>
      </c>
      <c r="AD151" s="66">
        <f t="shared" si="1357"/>
        <v>1908.434733333333</v>
      </c>
    </row>
    <row r="154" spans="1:30" x14ac:dyDescent="0.25">
      <c r="F154" s="81"/>
    </row>
    <row r="155" spans="1:30" x14ac:dyDescent="0.25">
      <c r="F155" s="81"/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4"/>
  <sheetViews>
    <sheetView topLeftCell="A10" zoomScale="125" workbookViewId="0">
      <selection activeCell="E3" sqref="E3"/>
    </sheetView>
  </sheetViews>
  <sheetFormatPr defaultColWidth="8.7109375" defaultRowHeight="15" x14ac:dyDescent="0.25"/>
  <cols>
    <col min="1" max="1" width="33" bestFit="1" customWidth="1"/>
    <col min="2" max="2" width="11.42578125" style="7" bestFit="1" customWidth="1"/>
    <col min="3" max="3" width="17.7109375" style="9" bestFit="1" customWidth="1"/>
    <col min="4" max="4" width="14" style="9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0" hidden="1" customWidth="1"/>
    <col min="10" max="10" width="13.42578125" style="10" hidden="1" customWidth="1"/>
    <col min="11" max="11" width="13.7109375" hidden="1" customWidth="1"/>
    <col min="12" max="12" width="11.28515625" hidden="1" customWidth="1"/>
    <col min="13" max="13" width="13" bestFit="1" customWidth="1"/>
    <col min="14" max="14" width="14.7109375" bestFit="1" customWidth="1"/>
  </cols>
  <sheetData>
    <row r="1" spans="1:14" s="6" customFormat="1" x14ac:dyDescent="0.25">
      <c r="A1" s="54" t="s">
        <v>119</v>
      </c>
      <c r="B1" s="54" t="s">
        <v>120</v>
      </c>
      <c r="C1" s="55" t="s">
        <v>121</v>
      </c>
      <c r="D1" s="55" t="s">
        <v>523</v>
      </c>
      <c r="E1" s="56">
        <v>2025</v>
      </c>
      <c r="F1" s="11" t="s">
        <v>125</v>
      </c>
      <c r="G1" s="11" t="s">
        <v>106</v>
      </c>
      <c r="I1" s="8" t="s">
        <v>127</v>
      </c>
      <c r="J1" s="8" t="s">
        <v>128</v>
      </c>
      <c r="K1" s="6" t="s">
        <v>129</v>
      </c>
      <c r="L1" s="6" t="s">
        <v>130</v>
      </c>
      <c r="M1" s="6">
        <v>1.0449999999999999</v>
      </c>
    </row>
    <row r="2" spans="1:14" s="6" customFormat="1" hidden="1" x14ac:dyDescent="0.25">
      <c r="C2" s="8"/>
      <c r="D2" s="8"/>
      <c r="E2" s="53"/>
      <c r="F2" s="11"/>
      <c r="G2" s="11"/>
      <c r="I2" s="8"/>
      <c r="J2" s="8"/>
    </row>
    <row r="3" spans="1:14" x14ac:dyDescent="0.25">
      <c r="A3" t="s">
        <v>122</v>
      </c>
      <c r="B3" s="7">
        <v>207</v>
      </c>
      <c r="C3" s="9">
        <v>951.15</v>
      </c>
      <c r="D3" s="9">
        <f>(C3*12)*B3</f>
        <v>2362656.5999999996</v>
      </c>
      <c r="E3" s="52">
        <f>D3*$M$1</f>
        <v>2468976.1469999994</v>
      </c>
      <c r="G3" s="3">
        <f t="shared" ref="G3:G9" si="0">(F3*B3)*12</f>
        <v>0</v>
      </c>
      <c r="M3" s="52"/>
    </row>
    <row r="4" spans="1:14" x14ac:dyDescent="0.25">
      <c r="A4" t="s">
        <v>142</v>
      </c>
      <c r="B4" s="7">
        <v>3</v>
      </c>
      <c r="C4" s="9">
        <v>824.55</v>
      </c>
      <c r="D4" s="9">
        <f>(C4*12)*B4</f>
        <v>29683.799999999996</v>
      </c>
      <c r="E4" s="52">
        <f t="shared" ref="E4:E11" si="1">D4*$M$1</f>
        <v>31019.570999999993</v>
      </c>
      <c r="G4" s="3">
        <f t="shared" si="0"/>
        <v>0</v>
      </c>
      <c r="M4" s="52"/>
    </row>
    <row r="5" spans="1:14" x14ac:dyDescent="0.25">
      <c r="A5" t="s">
        <v>123</v>
      </c>
      <c r="B5" s="7">
        <v>14</v>
      </c>
      <c r="C5" s="9">
        <v>475.58</v>
      </c>
      <c r="D5" s="9">
        <f t="shared" ref="D5:D11" si="2">(C5*12)*B5</f>
        <v>79897.440000000002</v>
      </c>
      <c r="E5" s="52">
        <f t="shared" si="1"/>
        <v>83492.824800000002</v>
      </c>
      <c r="G5" s="3">
        <f t="shared" si="0"/>
        <v>0</v>
      </c>
      <c r="M5" s="52"/>
      <c r="N5" s="52"/>
    </row>
    <row r="6" spans="1:14" x14ac:dyDescent="0.25">
      <c r="A6" t="s">
        <v>157</v>
      </c>
      <c r="B6" s="7">
        <v>4</v>
      </c>
      <c r="C6" s="9">
        <v>665.8</v>
      </c>
      <c r="D6" s="9">
        <f t="shared" si="2"/>
        <v>31958.399999999998</v>
      </c>
      <c r="E6" s="52">
        <f t="shared" si="1"/>
        <v>33396.527999999998</v>
      </c>
      <c r="G6" s="3">
        <f t="shared" si="0"/>
        <v>0</v>
      </c>
      <c r="M6" s="52"/>
    </row>
    <row r="7" spans="1:14" x14ac:dyDescent="0.25">
      <c r="A7" t="s">
        <v>158</v>
      </c>
      <c r="B7" s="7">
        <v>2</v>
      </c>
      <c r="C7" s="9">
        <v>475.58</v>
      </c>
      <c r="D7" s="9">
        <f t="shared" si="2"/>
        <v>11413.92</v>
      </c>
      <c r="E7" s="52">
        <f t="shared" si="1"/>
        <v>11927.546399999999</v>
      </c>
      <c r="G7" s="3">
        <f t="shared" si="0"/>
        <v>0</v>
      </c>
      <c r="M7" s="52"/>
    </row>
    <row r="8" spans="1:14" x14ac:dyDescent="0.25">
      <c r="A8" t="s">
        <v>159</v>
      </c>
      <c r="B8" s="7">
        <v>4</v>
      </c>
      <c r="C8" s="9">
        <v>95.12</v>
      </c>
      <c r="D8" s="9">
        <f t="shared" si="2"/>
        <v>4565.76</v>
      </c>
      <c r="E8" s="52">
        <f t="shared" si="1"/>
        <v>4771.2191999999995</v>
      </c>
      <c r="G8" s="3">
        <f t="shared" si="0"/>
        <v>0</v>
      </c>
      <c r="M8" s="52"/>
    </row>
    <row r="9" spans="1:14" x14ac:dyDescent="0.25">
      <c r="A9" t="s">
        <v>160</v>
      </c>
      <c r="B9" s="7">
        <v>2</v>
      </c>
      <c r="C9" s="9">
        <v>95.12</v>
      </c>
      <c r="D9" s="9">
        <f t="shared" si="2"/>
        <v>2282.88</v>
      </c>
      <c r="E9" s="52">
        <f t="shared" si="1"/>
        <v>2385.6095999999998</v>
      </c>
      <c r="G9" s="3">
        <f t="shared" si="0"/>
        <v>0</v>
      </c>
      <c r="M9" s="52"/>
    </row>
    <row r="10" spans="1:14" x14ac:dyDescent="0.25">
      <c r="A10" t="s">
        <v>524</v>
      </c>
      <c r="B10" s="7">
        <v>59</v>
      </c>
      <c r="D10" s="9">
        <f t="shared" si="2"/>
        <v>0</v>
      </c>
      <c r="E10" s="52">
        <f t="shared" si="1"/>
        <v>0</v>
      </c>
      <c r="M10" s="52"/>
    </row>
    <row r="11" spans="1:14" x14ac:dyDescent="0.25">
      <c r="A11" t="s">
        <v>525</v>
      </c>
      <c r="B11" s="7">
        <v>8</v>
      </c>
      <c r="D11" s="9">
        <f t="shared" si="2"/>
        <v>0</v>
      </c>
      <c r="E11" s="52">
        <f t="shared" si="1"/>
        <v>0</v>
      </c>
      <c r="M11" s="52"/>
    </row>
    <row r="12" spans="1:14" x14ac:dyDescent="0.25">
      <c r="B12" s="7">
        <f>SUM(B3:B11)</f>
        <v>303</v>
      </c>
      <c r="C12" s="55" t="s">
        <v>109</v>
      </c>
      <c r="D12" s="55">
        <f>SUM(D3:D11)</f>
        <v>2522458.7999999989</v>
      </c>
      <c r="E12" s="57">
        <f>SUM(E3:E11)</f>
        <v>2635969.4459999995</v>
      </c>
      <c r="M12" s="52"/>
      <c r="N12" s="52"/>
    </row>
    <row r="13" spans="1:14" x14ac:dyDescent="0.25">
      <c r="E13" s="52"/>
      <c r="I13" s="10">
        <f>2354880*88.5</f>
        <v>208406880</v>
      </c>
      <c r="N13" s="52"/>
    </row>
    <row r="14" spans="1:14" x14ac:dyDescent="0.25">
      <c r="A14" t="s">
        <v>162</v>
      </c>
      <c r="B14" s="7">
        <v>20</v>
      </c>
      <c r="C14" s="9">
        <v>475.58</v>
      </c>
      <c r="D14" s="9">
        <f>(C14*12)*B14</f>
        <v>114139.2</v>
      </c>
      <c r="E14" s="52">
        <f>D14*$M$1</f>
        <v>119275.46399999999</v>
      </c>
      <c r="G14" s="3">
        <f t="shared" ref="G14" si="3">(F14*B14)*12</f>
        <v>0</v>
      </c>
      <c r="I14" s="10">
        <f>I13/100</f>
        <v>2084068.8</v>
      </c>
      <c r="M14" s="52"/>
      <c r="N14" s="52"/>
    </row>
    <row r="15" spans="1:14" x14ac:dyDescent="0.25">
      <c r="G15" s="3">
        <f>SUM(G3:G14)</f>
        <v>0</v>
      </c>
    </row>
    <row r="16" spans="1:14" x14ac:dyDescent="0.25">
      <c r="A16" s="89" t="s">
        <v>109</v>
      </c>
      <c r="B16" s="6">
        <v>323</v>
      </c>
      <c r="C16" s="8"/>
      <c r="D16" s="8">
        <f>D12+D14</f>
        <v>2636597.9999999991</v>
      </c>
      <c r="E16" s="8">
        <f>E12+E14</f>
        <v>2755244.9099999997</v>
      </c>
    </row>
    <row r="17" spans="1:13" x14ac:dyDescent="0.25">
      <c r="A17" s="89"/>
      <c r="B17" s="6"/>
      <c r="C17" s="8"/>
      <c r="D17" s="8"/>
      <c r="E17" s="8"/>
    </row>
    <row r="18" spans="1:13" x14ac:dyDescent="0.25">
      <c r="M18" s="52"/>
    </row>
    <row r="19" spans="1:13" x14ac:dyDescent="0.25">
      <c r="E19" s="52"/>
    </row>
    <row r="20" spans="1:13" x14ac:dyDescent="0.25">
      <c r="A20" t="s">
        <v>163</v>
      </c>
      <c r="B20" s="7">
        <v>3</v>
      </c>
      <c r="C20" s="9">
        <f>C3*M1</f>
        <v>993.95174999999995</v>
      </c>
      <c r="D20" s="68">
        <f>(C20*12)*B20</f>
        <v>35782.262999999992</v>
      </c>
      <c r="E20" s="52">
        <f>D20/2</f>
        <v>17891.131499999996</v>
      </c>
    </row>
    <row r="22" spans="1:13" x14ac:dyDescent="0.25">
      <c r="A22" t="s">
        <v>526</v>
      </c>
      <c r="E22" s="52"/>
    </row>
    <row r="34" spans="1:4" x14ac:dyDescent="0.25">
      <c r="A34" t="s">
        <v>124</v>
      </c>
      <c r="B34" s="7">
        <v>14</v>
      </c>
      <c r="C34" s="9">
        <v>301.06</v>
      </c>
      <c r="D34" s="9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A35C-63E8-4031-8B0E-9B482D923D84}">
  <dimension ref="A1:F324"/>
  <sheetViews>
    <sheetView workbookViewId="0">
      <selection activeCell="G12" sqref="G12"/>
    </sheetView>
  </sheetViews>
  <sheetFormatPr defaultRowHeight="15" x14ac:dyDescent="0.25"/>
  <cols>
    <col min="2" max="2" width="27.7109375" bestFit="1" customWidth="1"/>
    <col min="3" max="3" width="42.42578125" bestFit="1" customWidth="1"/>
    <col min="5" max="5" width="10.5703125" bestFit="1" customWidth="1"/>
  </cols>
  <sheetData>
    <row r="1" spans="1:6" x14ac:dyDescent="0.25">
      <c r="A1" t="s">
        <v>187</v>
      </c>
      <c r="B1" t="s">
        <v>188</v>
      </c>
      <c r="C1" t="s">
        <v>189</v>
      </c>
      <c r="D1" t="s">
        <v>190</v>
      </c>
      <c r="E1" t="s">
        <v>191</v>
      </c>
    </row>
    <row r="2" spans="1:6" x14ac:dyDescent="0.25">
      <c r="A2">
        <v>6</v>
      </c>
      <c r="B2" t="s">
        <v>192</v>
      </c>
      <c r="C2" t="s">
        <v>193</v>
      </c>
      <c r="D2">
        <v>59</v>
      </c>
      <c r="E2" s="3">
        <v>475.58</v>
      </c>
      <c r="F2">
        <f>1</f>
        <v>1</v>
      </c>
    </row>
    <row r="3" spans="1:6" x14ac:dyDescent="0.25">
      <c r="A3">
        <v>6</v>
      </c>
      <c r="B3" t="s">
        <v>192</v>
      </c>
      <c r="C3" t="s">
        <v>194</v>
      </c>
      <c r="D3">
        <v>74</v>
      </c>
      <c r="E3" s="3">
        <v>475.58</v>
      </c>
      <c r="F3">
        <f>F2+1</f>
        <v>2</v>
      </c>
    </row>
    <row r="4" spans="1:6" x14ac:dyDescent="0.25">
      <c r="A4">
        <v>6</v>
      </c>
      <c r="B4" t="s">
        <v>192</v>
      </c>
      <c r="C4" t="s">
        <v>195</v>
      </c>
      <c r="D4">
        <v>98</v>
      </c>
      <c r="E4" s="3">
        <v>475.58</v>
      </c>
      <c r="F4">
        <f t="shared" ref="F4:F67" si="0">F3+1</f>
        <v>3</v>
      </c>
    </row>
    <row r="5" spans="1:6" x14ac:dyDescent="0.25">
      <c r="A5">
        <v>6</v>
      </c>
      <c r="B5" t="s">
        <v>192</v>
      </c>
      <c r="C5" t="s">
        <v>196</v>
      </c>
      <c r="D5">
        <v>109</v>
      </c>
      <c r="E5" s="3">
        <v>475.58</v>
      </c>
      <c r="F5">
        <f t="shared" si="0"/>
        <v>4</v>
      </c>
    </row>
    <row r="6" spans="1:6" x14ac:dyDescent="0.25">
      <c r="A6">
        <v>6</v>
      </c>
      <c r="B6" t="s">
        <v>192</v>
      </c>
      <c r="C6" t="s">
        <v>197</v>
      </c>
      <c r="D6">
        <v>144</v>
      </c>
      <c r="E6" s="3">
        <v>475.58</v>
      </c>
      <c r="F6">
        <f t="shared" si="0"/>
        <v>5</v>
      </c>
    </row>
    <row r="7" spans="1:6" x14ac:dyDescent="0.25">
      <c r="A7">
        <v>6</v>
      </c>
      <c r="B7" t="s">
        <v>192</v>
      </c>
      <c r="C7" t="s">
        <v>198</v>
      </c>
      <c r="D7">
        <v>221</v>
      </c>
      <c r="E7" s="3">
        <v>475.58</v>
      </c>
      <c r="F7">
        <f t="shared" si="0"/>
        <v>6</v>
      </c>
    </row>
    <row r="8" spans="1:6" x14ac:dyDescent="0.25">
      <c r="A8">
        <v>6</v>
      </c>
      <c r="B8" t="s">
        <v>192</v>
      </c>
      <c r="C8" t="s">
        <v>199</v>
      </c>
      <c r="D8">
        <v>243</v>
      </c>
      <c r="E8" s="3">
        <v>475.58</v>
      </c>
      <c r="F8">
        <f t="shared" si="0"/>
        <v>7</v>
      </c>
    </row>
    <row r="9" spans="1:6" x14ac:dyDescent="0.25">
      <c r="A9">
        <v>6</v>
      </c>
      <c r="B9" t="s">
        <v>192</v>
      </c>
      <c r="C9" t="s">
        <v>200</v>
      </c>
      <c r="D9">
        <v>275</v>
      </c>
      <c r="E9" s="3">
        <v>475.58</v>
      </c>
      <c r="F9">
        <f t="shared" si="0"/>
        <v>8</v>
      </c>
    </row>
    <row r="10" spans="1:6" x14ac:dyDescent="0.25">
      <c r="A10">
        <v>6</v>
      </c>
      <c r="B10" t="s">
        <v>192</v>
      </c>
      <c r="C10" t="s">
        <v>201</v>
      </c>
      <c r="D10">
        <v>330</v>
      </c>
      <c r="E10" s="3">
        <v>475.58</v>
      </c>
      <c r="F10">
        <f t="shared" si="0"/>
        <v>9</v>
      </c>
    </row>
    <row r="11" spans="1:6" x14ac:dyDescent="0.25">
      <c r="A11">
        <v>6</v>
      </c>
      <c r="B11" t="s">
        <v>192</v>
      </c>
      <c r="C11" t="s">
        <v>202</v>
      </c>
      <c r="D11">
        <v>472</v>
      </c>
      <c r="E11" s="3">
        <v>475.58</v>
      </c>
      <c r="F11">
        <f t="shared" si="0"/>
        <v>10</v>
      </c>
    </row>
    <row r="12" spans="1:6" x14ac:dyDescent="0.25">
      <c r="A12">
        <v>6</v>
      </c>
      <c r="B12" t="s">
        <v>192</v>
      </c>
      <c r="C12" t="s">
        <v>203</v>
      </c>
      <c r="D12">
        <v>591</v>
      </c>
      <c r="E12" s="3">
        <v>475.58</v>
      </c>
      <c r="F12">
        <f t="shared" si="0"/>
        <v>11</v>
      </c>
    </row>
    <row r="13" spans="1:6" x14ac:dyDescent="0.25">
      <c r="A13">
        <v>6</v>
      </c>
      <c r="B13" t="s">
        <v>192</v>
      </c>
      <c r="C13" t="s">
        <v>204</v>
      </c>
      <c r="D13">
        <v>631</v>
      </c>
      <c r="E13" s="3">
        <v>475.58</v>
      </c>
      <c r="F13">
        <f t="shared" si="0"/>
        <v>12</v>
      </c>
    </row>
    <row r="14" spans="1:6" x14ac:dyDescent="0.25">
      <c r="A14">
        <v>6</v>
      </c>
      <c r="B14" t="s">
        <v>192</v>
      </c>
      <c r="C14" t="s">
        <v>205</v>
      </c>
      <c r="D14">
        <v>647</v>
      </c>
      <c r="E14" s="3">
        <v>475.58</v>
      </c>
      <c r="F14">
        <f t="shared" si="0"/>
        <v>13</v>
      </c>
    </row>
    <row r="15" spans="1:6" x14ac:dyDescent="0.25">
      <c r="A15">
        <v>6</v>
      </c>
      <c r="B15" t="s">
        <v>192</v>
      </c>
      <c r="C15" t="s">
        <v>206</v>
      </c>
      <c r="D15">
        <v>694</v>
      </c>
      <c r="E15" s="3">
        <v>475.58</v>
      </c>
      <c r="F15">
        <f t="shared" si="0"/>
        <v>14</v>
      </c>
    </row>
    <row r="16" spans="1:6" x14ac:dyDescent="0.25">
      <c r="A16">
        <v>2</v>
      </c>
      <c r="B16" t="s">
        <v>207</v>
      </c>
      <c r="C16" t="s">
        <v>208</v>
      </c>
      <c r="D16">
        <v>7</v>
      </c>
      <c r="E16" s="3">
        <v>475.58</v>
      </c>
      <c r="F16">
        <f t="shared" si="0"/>
        <v>15</v>
      </c>
    </row>
    <row r="17" spans="1:6" x14ac:dyDescent="0.25">
      <c r="A17">
        <v>2</v>
      </c>
      <c r="B17" t="s">
        <v>207</v>
      </c>
      <c r="C17" t="s">
        <v>209</v>
      </c>
      <c r="D17">
        <v>800</v>
      </c>
      <c r="E17" s="3">
        <v>475.58</v>
      </c>
      <c r="F17">
        <f t="shared" si="0"/>
        <v>16</v>
      </c>
    </row>
    <row r="18" spans="1:6" x14ac:dyDescent="0.25">
      <c r="A18">
        <v>2</v>
      </c>
      <c r="B18" t="s">
        <v>207</v>
      </c>
      <c r="C18" t="s">
        <v>210</v>
      </c>
      <c r="D18">
        <v>801</v>
      </c>
      <c r="E18" s="3">
        <v>475.58</v>
      </c>
      <c r="F18">
        <f t="shared" si="0"/>
        <v>17</v>
      </c>
    </row>
    <row r="19" spans="1:6" x14ac:dyDescent="0.25">
      <c r="A19">
        <v>2</v>
      </c>
      <c r="B19" t="s">
        <v>207</v>
      </c>
      <c r="C19" t="s">
        <v>211</v>
      </c>
      <c r="D19">
        <v>803</v>
      </c>
      <c r="E19" s="3">
        <v>475.58</v>
      </c>
      <c r="F19">
        <f t="shared" si="0"/>
        <v>18</v>
      </c>
    </row>
    <row r="20" spans="1:6" x14ac:dyDescent="0.25">
      <c r="A20">
        <v>2</v>
      </c>
      <c r="B20" t="s">
        <v>207</v>
      </c>
      <c r="C20" t="s">
        <v>212</v>
      </c>
      <c r="D20">
        <v>804</v>
      </c>
      <c r="E20" s="3">
        <v>475.58</v>
      </c>
      <c r="F20">
        <f t="shared" si="0"/>
        <v>19</v>
      </c>
    </row>
    <row r="21" spans="1:6" x14ac:dyDescent="0.25">
      <c r="A21">
        <v>2</v>
      </c>
      <c r="B21" t="s">
        <v>207</v>
      </c>
      <c r="C21" t="s">
        <v>213</v>
      </c>
      <c r="D21">
        <v>805</v>
      </c>
      <c r="E21" s="3">
        <v>475.58</v>
      </c>
      <c r="F21">
        <f t="shared" si="0"/>
        <v>20</v>
      </c>
    </row>
    <row r="22" spans="1:6" x14ac:dyDescent="0.25">
      <c r="A22">
        <v>2</v>
      </c>
      <c r="B22" t="s">
        <v>207</v>
      </c>
      <c r="C22" t="s">
        <v>214</v>
      </c>
      <c r="D22">
        <v>807</v>
      </c>
      <c r="E22" s="3">
        <v>475.58</v>
      </c>
      <c r="F22">
        <f t="shared" si="0"/>
        <v>21</v>
      </c>
    </row>
    <row r="23" spans="1:6" x14ac:dyDescent="0.25">
      <c r="A23">
        <v>2</v>
      </c>
      <c r="B23" t="s">
        <v>207</v>
      </c>
      <c r="C23" t="s">
        <v>215</v>
      </c>
      <c r="D23">
        <v>808</v>
      </c>
      <c r="E23" s="3">
        <v>475.58</v>
      </c>
      <c r="F23">
        <f t="shared" si="0"/>
        <v>22</v>
      </c>
    </row>
    <row r="24" spans="1:6" x14ac:dyDescent="0.25">
      <c r="A24">
        <v>2</v>
      </c>
      <c r="B24" t="s">
        <v>207</v>
      </c>
      <c r="C24" t="s">
        <v>216</v>
      </c>
      <c r="D24">
        <v>809</v>
      </c>
      <c r="E24" s="3">
        <v>475.58</v>
      </c>
      <c r="F24">
        <f t="shared" si="0"/>
        <v>23</v>
      </c>
    </row>
    <row r="25" spans="1:6" x14ac:dyDescent="0.25">
      <c r="A25">
        <v>2</v>
      </c>
      <c r="B25" t="s">
        <v>207</v>
      </c>
      <c r="C25" t="s">
        <v>217</v>
      </c>
      <c r="D25">
        <v>810</v>
      </c>
      <c r="E25" s="3">
        <v>475.58</v>
      </c>
      <c r="F25">
        <f t="shared" si="0"/>
        <v>24</v>
      </c>
    </row>
    <row r="26" spans="1:6" x14ac:dyDescent="0.25">
      <c r="A26">
        <v>2</v>
      </c>
      <c r="B26" t="s">
        <v>207</v>
      </c>
      <c r="C26" t="s">
        <v>218</v>
      </c>
      <c r="D26">
        <v>811</v>
      </c>
      <c r="E26" s="3">
        <v>475.58</v>
      </c>
      <c r="F26">
        <f t="shared" si="0"/>
        <v>25</v>
      </c>
    </row>
    <row r="27" spans="1:6" x14ac:dyDescent="0.25">
      <c r="A27">
        <v>2</v>
      </c>
      <c r="B27" t="s">
        <v>207</v>
      </c>
      <c r="C27" t="s">
        <v>219</v>
      </c>
      <c r="D27">
        <v>812</v>
      </c>
      <c r="E27" s="3">
        <v>475.58</v>
      </c>
      <c r="F27">
        <f t="shared" si="0"/>
        <v>26</v>
      </c>
    </row>
    <row r="28" spans="1:6" x14ac:dyDescent="0.25">
      <c r="A28">
        <v>2</v>
      </c>
      <c r="B28" t="s">
        <v>207</v>
      </c>
      <c r="C28" t="s">
        <v>220</v>
      </c>
      <c r="D28">
        <v>814</v>
      </c>
      <c r="E28" s="3">
        <v>475.58</v>
      </c>
      <c r="F28">
        <f t="shared" si="0"/>
        <v>27</v>
      </c>
    </row>
    <row r="29" spans="1:6" x14ac:dyDescent="0.25">
      <c r="A29">
        <v>2</v>
      </c>
      <c r="B29" t="s">
        <v>207</v>
      </c>
      <c r="C29" t="s">
        <v>221</v>
      </c>
      <c r="D29">
        <v>815</v>
      </c>
      <c r="E29" s="3">
        <v>475.58</v>
      </c>
      <c r="F29">
        <f t="shared" si="0"/>
        <v>28</v>
      </c>
    </row>
    <row r="30" spans="1:6" x14ac:dyDescent="0.25">
      <c r="A30">
        <v>2</v>
      </c>
      <c r="B30" t="s">
        <v>207</v>
      </c>
      <c r="C30" t="s">
        <v>222</v>
      </c>
      <c r="D30">
        <v>816</v>
      </c>
      <c r="E30" s="3">
        <v>475.58</v>
      </c>
      <c r="F30">
        <f t="shared" si="0"/>
        <v>29</v>
      </c>
    </row>
    <row r="31" spans="1:6" x14ac:dyDescent="0.25">
      <c r="A31">
        <v>2</v>
      </c>
      <c r="B31" t="s">
        <v>207</v>
      </c>
      <c r="C31" t="s">
        <v>223</v>
      </c>
      <c r="D31">
        <v>817</v>
      </c>
      <c r="E31" s="3">
        <v>475.58</v>
      </c>
      <c r="F31">
        <f t="shared" si="0"/>
        <v>30</v>
      </c>
    </row>
    <row r="32" spans="1:6" x14ac:dyDescent="0.25">
      <c r="A32">
        <v>2</v>
      </c>
      <c r="B32" t="s">
        <v>207</v>
      </c>
      <c r="C32" t="s">
        <v>224</v>
      </c>
      <c r="D32">
        <v>818</v>
      </c>
      <c r="E32" s="3">
        <v>475.58</v>
      </c>
      <c r="F32">
        <f t="shared" si="0"/>
        <v>31</v>
      </c>
    </row>
    <row r="33" spans="1:6" x14ac:dyDescent="0.25">
      <c r="A33">
        <v>2</v>
      </c>
      <c r="B33" t="s">
        <v>207</v>
      </c>
      <c r="C33" t="s">
        <v>225</v>
      </c>
      <c r="D33">
        <v>819</v>
      </c>
      <c r="E33" s="3">
        <v>475.58</v>
      </c>
      <c r="F33">
        <f t="shared" si="0"/>
        <v>32</v>
      </c>
    </row>
    <row r="34" spans="1:6" x14ac:dyDescent="0.25">
      <c r="A34">
        <v>2</v>
      </c>
      <c r="B34" t="s">
        <v>207</v>
      </c>
      <c r="C34" t="s">
        <v>226</v>
      </c>
      <c r="D34">
        <v>820</v>
      </c>
      <c r="E34" s="3">
        <v>475.58</v>
      </c>
      <c r="F34">
        <f t="shared" si="0"/>
        <v>33</v>
      </c>
    </row>
    <row r="35" spans="1:6" x14ac:dyDescent="0.25">
      <c r="A35">
        <v>2</v>
      </c>
      <c r="B35" t="s">
        <v>207</v>
      </c>
      <c r="C35" t="s">
        <v>227</v>
      </c>
      <c r="D35">
        <v>821</v>
      </c>
      <c r="E35" s="3">
        <v>475.58</v>
      </c>
      <c r="F35">
        <f t="shared" si="0"/>
        <v>34</v>
      </c>
    </row>
    <row r="36" spans="1:6" x14ac:dyDescent="0.25">
      <c r="A36">
        <v>9</v>
      </c>
      <c r="B36" t="s">
        <v>228</v>
      </c>
      <c r="C36" t="s">
        <v>229</v>
      </c>
      <c r="D36">
        <v>72</v>
      </c>
      <c r="E36" s="3">
        <v>0</v>
      </c>
      <c r="F36">
        <f t="shared" si="0"/>
        <v>35</v>
      </c>
    </row>
    <row r="37" spans="1:6" x14ac:dyDescent="0.25">
      <c r="A37">
        <v>9</v>
      </c>
      <c r="B37" t="s">
        <v>228</v>
      </c>
      <c r="C37" t="s">
        <v>230</v>
      </c>
      <c r="D37">
        <v>85</v>
      </c>
      <c r="E37" s="3">
        <v>0</v>
      </c>
      <c r="F37">
        <f t="shared" si="0"/>
        <v>36</v>
      </c>
    </row>
    <row r="38" spans="1:6" x14ac:dyDescent="0.25">
      <c r="A38">
        <v>9</v>
      </c>
      <c r="B38" t="s">
        <v>228</v>
      </c>
      <c r="C38" t="s">
        <v>231</v>
      </c>
      <c r="D38">
        <v>101</v>
      </c>
      <c r="E38" s="3">
        <v>0</v>
      </c>
      <c r="F38">
        <f t="shared" si="0"/>
        <v>37</v>
      </c>
    </row>
    <row r="39" spans="1:6" x14ac:dyDescent="0.25">
      <c r="A39">
        <v>9</v>
      </c>
      <c r="B39" t="s">
        <v>228</v>
      </c>
      <c r="C39" t="s">
        <v>232</v>
      </c>
      <c r="D39">
        <v>117</v>
      </c>
      <c r="E39" s="3">
        <v>0</v>
      </c>
      <c r="F39">
        <f t="shared" si="0"/>
        <v>38</v>
      </c>
    </row>
    <row r="40" spans="1:6" x14ac:dyDescent="0.25">
      <c r="A40">
        <v>9</v>
      </c>
      <c r="B40" t="s">
        <v>228</v>
      </c>
      <c r="C40" t="s">
        <v>233</v>
      </c>
      <c r="D40">
        <v>161</v>
      </c>
      <c r="E40" s="3">
        <v>0</v>
      </c>
      <c r="F40">
        <f t="shared" si="0"/>
        <v>39</v>
      </c>
    </row>
    <row r="41" spans="1:6" x14ac:dyDescent="0.25">
      <c r="A41">
        <v>10</v>
      </c>
      <c r="B41" t="s">
        <v>234</v>
      </c>
      <c r="C41" t="s">
        <v>235</v>
      </c>
      <c r="D41">
        <v>102</v>
      </c>
      <c r="E41" s="3">
        <v>0</v>
      </c>
      <c r="F41">
        <f t="shared" si="0"/>
        <v>40</v>
      </c>
    </row>
    <row r="42" spans="1:6" x14ac:dyDescent="0.25">
      <c r="A42">
        <v>10</v>
      </c>
      <c r="B42" t="s">
        <v>234</v>
      </c>
      <c r="C42" t="s">
        <v>236</v>
      </c>
      <c r="D42">
        <v>103</v>
      </c>
      <c r="E42" s="3">
        <v>0</v>
      </c>
      <c r="F42">
        <f t="shared" si="0"/>
        <v>41</v>
      </c>
    </row>
    <row r="43" spans="1:6" x14ac:dyDescent="0.25">
      <c r="A43">
        <v>10</v>
      </c>
      <c r="B43" t="s">
        <v>234</v>
      </c>
      <c r="C43" t="s">
        <v>237</v>
      </c>
      <c r="D43">
        <v>417</v>
      </c>
      <c r="E43" s="3">
        <v>0</v>
      </c>
      <c r="F43">
        <f t="shared" si="0"/>
        <v>42</v>
      </c>
    </row>
    <row r="44" spans="1:6" x14ac:dyDescent="0.25">
      <c r="A44">
        <v>3</v>
      </c>
      <c r="B44" t="s">
        <v>238</v>
      </c>
      <c r="C44" t="s">
        <v>239</v>
      </c>
      <c r="D44">
        <v>131</v>
      </c>
      <c r="E44" s="3">
        <v>824.55</v>
      </c>
      <c r="F44">
        <f t="shared" si="0"/>
        <v>43</v>
      </c>
    </row>
    <row r="45" spans="1:6" x14ac:dyDescent="0.25">
      <c r="A45">
        <v>3</v>
      </c>
      <c r="B45" t="s">
        <v>238</v>
      </c>
      <c r="C45" t="s">
        <v>240</v>
      </c>
      <c r="D45">
        <v>141</v>
      </c>
      <c r="E45" s="3">
        <v>824.55</v>
      </c>
      <c r="F45">
        <f t="shared" si="0"/>
        <v>44</v>
      </c>
    </row>
    <row r="46" spans="1:6" x14ac:dyDescent="0.25">
      <c r="A46">
        <v>3</v>
      </c>
      <c r="B46" t="s">
        <v>238</v>
      </c>
      <c r="C46" t="s">
        <v>241</v>
      </c>
      <c r="D46">
        <v>545</v>
      </c>
      <c r="E46" s="3">
        <v>824.55</v>
      </c>
      <c r="F46">
        <f t="shared" si="0"/>
        <v>45</v>
      </c>
    </row>
    <row r="47" spans="1:6" x14ac:dyDescent="0.25">
      <c r="A47">
        <v>1</v>
      </c>
      <c r="B47" t="s">
        <v>242</v>
      </c>
      <c r="C47" s="83" t="s">
        <v>243</v>
      </c>
      <c r="D47" s="83">
        <v>41</v>
      </c>
      <c r="E47" s="84">
        <v>95.12</v>
      </c>
      <c r="F47">
        <f t="shared" si="0"/>
        <v>46</v>
      </c>
    </row>
    <row r="48" spans="1:6" x14ac:dyDescent="0.25">
      <c r="A48">
        <v>1</v>
      </c>
      <c r="B48" t="s">
        <v>242</v>
      </c>
      <c r="C48" s="83" t="s">
        <v>244</v>
      </c>
      <c r="D48" s="83">
        <v>199</v>
      </c>
      <c r="E48" s="84">
        <v>95.12</v>
      </c>
      <c r="F48">
        <f t="shared" si="0"/>
        <v>47</v>
      </c>
    </row>
    <row r="49" spans="1:6" x14ac:dyDescent="0.25">
      <c r="A49">
        <v>1</v>
      </c>
      <c r="B49" t="s">
        <v>242</v>
      </c>
      <c r="C49" s="83" t="s">
        <v>245</v>
      </c>
      <c r="D49" s="83">
        <v>228</v>
      </c>
      <c r="E49" s="84">
        <v>95.12</v>
      </c>
      <c r="F49">
        <f t="shared" si="0"/>
        <v>48</v>
      </c>
    </row>
    <row r="50" spans="1:6" x14ac:dyDescent="0.25">
      <c r="A50">
        <v>1</v>
      </c>
      <c r="B50" t="s">
        <v>242</v>
      </c>
      <c r="C50" s="83" t="s">
        <v>246</v>
      </c>
      <c r="D50" s="83">
        <v>353</v>
      </c>
      <c r="E50" s="84">
        <v>95.12</v>
      </c>
      <c r="F50">
        <f t="shared" si="0"/>
        <v>49</v>
      </c>
    </row>
    <row r="51" spans="1:6" x14ac:dyDescent="0.25">
      <c r="A51">
        <v>1</v>
      </c>
      <c r="B51" t="s">
        <v>242</v>
      </c>
      <c r="C51" s="85" t="s">
        <v>247</v>
      </c>
      <c r="D51" s="85">
        <v>92</v>
      </c>
      <c r="E51" s="86">
        <v>475.58</v>
      </c>
      <c r="F51">
        <f t="shared" si="0"/>
        <v>50</v>
      </c>
    </row>
    <row r="52" spans="1:6" x14ac:dyDescent="0.25">
      <c r="A52">
        <v>1</v>
      </c>
      <c r="B52" t="s">
        <v>242</v>
      </c>
      <c r="C52" s="85" t="s">
        <v>248</v>
      </c>
      <c r="D52" s="85">
        <v>301</v>
      </c>
      <c r="E52" s="86">
        <v>475.58</v>
      </c>
      <c r="F52">
        <f t="shared" si="0"/>
        <v>51</v>
      </c>
    </row>
    <row r="53" spans="1:6" x14ac:dyDescent="0.25">
      <c r="A53">
        <v>1</v>
      </c>
      <c r="B53" t="s">
        <v>242</v>
      </c>
      <c r="C53" s="87" t="s">
        <v>249</v>
      </c>
      <c r="D53" s="87">
        <v>79</v>
      </c>
      <c r="E53" s="88">
        <v>665.8</v>
      </c>
      <c r="F53">
        <f t="shared" si="0"/>
        <v>52</v>
      </c>
    </row>
    <row r="54" spans="1:6" x14ac:dyDescent="0.25">
      <c r="A54">
        <v>1</v>
      </c>
      <c r="B54" t="s">
        <v>242</v>
      </c>
      <c r="C54" s="87" t="s">
        <v>250</v>
      </c>
      <c r="D54" s="87">
        <v>158</v>
      </c>
      <c r="E54" s="88">
        <v>665.8</v>
      </c>
      <c r="F54">
        <f t="shared" si="0"/>
        <v>53</v>
      </c>
    </row>
    <row r="55" spans="1:6" x14ac:dyDescent="0.25">
      <c r="A55">
        <v>1</v>
      </c>
      <c r="B55" t="s">
        <v>242</v>
      </c>
      <c r="C55" s="87" t="s">
        <v>251</v>
      </c>
      <c r="D55" s="87">
        <v>332</v>
      </c>
      <c r="E55" s="88">
        <v>665.8</v>
      </c>
      <c r="F55">
        <f t="shared" si="0"/>
        <v>54</v>
      </c>
    </row>
    <row r="56" spans="1:6" x14ac:dyDescent="0.25">
      <c r="A56">
        <v>1</v>
      </c>
      <c r="B56" t="s">
        <v>242</v>
      </c>
      <c r="C56" s="87" t="s">
        <v>252</v>
      </c>
      <c r="D56" s="87">
        <v>358</v>
      </c>
      <c r="E56" s="88">
        <v>665.8</v>
      </c>
      <c r="F56">
        <f t="shared" si="0"/>
        <v>55</v>
      </c>
    </row>
    <row r="57" spans="1:6" x14ac:dyDescent="0.25">
      <c r="A57">
        <v>1</v>
      </c>
      <c r="B57" t="s">
        <v>242</v>
      </c>
      <c r="C57" t="s">
        <v>253</v>
      </c>
      <c r="D57">
        <v>2</v>
      </c>
      <c r="E57" s="3">
        <v>951.15</v>
      </c>
      <c r="F57">
        <f t="shared" si="0"/>
        <v>56</v>
      </c>
    </row>
    <row r="58" spans="1:6" x14ac:dyDescent="0.25">
      <c r="A58">
        <v>1</v>
      </c>
      <c r="B58" t="s">
        <v>242</v>
      </c>
      <c r="C58" t="s">
        <v>254</v>
      </c>
      <c r="D58">
        <v>4</v>
      </c>
      <c r="E58" s="3">
        <v>951.15</v>
      </c>
      <c r="F58">
        <f t="shared" si="0"/>
        <v>57</v>
      </c>
    </row>
    <row r="59" spans="1:6" x14ac:dyDescent="0.25">
      <c r="A59">
        <v>1</v>
      </c>
      <c r="B59" t="s">
        <v>242</v>
      </c>
      <c r="C59" t="s">
        <v>255</v>
      </c>
      <c r="D59">
        <v>6</v>
      </c>
      <c r="E59" s="3">
        <v>951.15</v>
      </c>
      <c r="F59">
        <f t="shared" si="0"/>
        <v>58</v>
      </c>
    </row>
    <row r="60" spans="1:6" x14ac:dyDescent="0.25">
      <c r="A60">
        <v>1</v>
      </c>
      <c r="B60" t="s">
        <v>242</v>
      </c>
      <c r="C60" t="s">
        <v>256</v>
      </c>
      <c r="D60">
        <v>8</v>
      </c>
      <c r="E60" s="3">
        <v>951.15</v>
      </c>
      <c r="F60">
        <f t="shared" si="0"/>
        <v>59</v>
      </c>
    </row>
    <row r="61" spans="1:6" x14ac:dyDescent="0.25">
      <c r="A61">
        <v>1</v>
      </c>
      <c r="B61" t="s">
        <v>242</v>
      </c>
      <c r="C61" t="s">
        <v>257</v>
      </c>
      <c r="D61">
        <v>9</v>
      </c>
      <c r="E61" s="3">
        <v>951.15</v>
      </c>
      <c r="F61">
        <f t="shared" si="0"/>
        <v>60</v>
      </c>
    </row>
    <row r="62" spans="1:6" x14ac:dyDescent="0.25">
      <c r="A62">
        <v>1</v>
      </c>
      <c r="B62" t="s">
        <v>242</v>
      </c>
      <c r="C62" t="s">
        <v>258</v>
      </c>
      <c r="D62">
        <v>10</v>
      </c>
      <c r="E62" s="3">
        <v>951.15</v>
      </c>
      <c r="F62">
        <f t="shared" si="0"/>
        <v>61</v>
      </c>
    </row>
    <row r="63" spans="1:6" x14ac:dyDescent="0.25">
      <c r="A63">
        <v>1</v>
      </c>
      <c r="B63" t="s">
        <v>242</v>
      </c>
      <c r="C63" t="s">
        <v>259</v>
      </c>
      <c r="D63">
        <v>11</v>
      </c>
      <c r="E63" s="3">
        <v>951.15</v>
      </c>
      <c r="F63">
        <f t="shared" si="0"/>
        <v>62</v>
      </c>
    </row>
    <row r="64" spans="1:6" x14ac:dyDescent="0.25">
      <c r="A64">
        <v>1</v>
      </c>
      <c r="B64" t="s">
        <v>242</v>
      </c>
      <c r="C64" t="s">
        <v>260</v>
      </c>
      <c r="D64">
        <v>12</v>
      </c>
      <c r="E64" s="3">
        <v>951.15</v>
      </c>
      <c r="F64">
        <f t="shared" si="0"/>
        <v>63</v>
      </c>
    </row>
    <row r="65" spans="1:6" x14ac:dyDescent="0.25">
      <c r="A65">
        <v>1</v>
      </c>
      <c r="B65" t="s">
        <v>242</v>
      </c>
      <c r="C65" t="s">
        <v>261</v>
      </c>
      <c r="D65">
        <v>13</v>
      </c>
      <c r="E65" s="3">
        <v>951.15</v>
      </c>
      <c r="F65">
        <f t="shared" si="0"/>
        <v>64</v>
      </c>
    </row>
    <row r="66" spans="1:6" x14ac:dyDescent="0.25">
      <c r="A66">
        <v>1</v>
      </c>
      <c r="B66" t="s">
        <v>242</v>
      </c>
      <c r="C66" t="s">
        <v>262</v>
      </c>
      <c r="D66">
        <v>14</v>
      </c>
      <c r="E66" s="3">
        <v>951.15</v>
      </c>
      <c r="F66">
        <f t="shared" si="0"/>
        <v>65</v>
      </c>
    </row>
    <row r="67" spans="1:6" x14ac:dyDescent="0.25">
      <c r="A67">
        <v>1</v>
      </c>
      <c r="B67" t="s">
        <v>242</v>
      </c>
      <c r="C67" t="s">
        <v>263</v>
      </c>
      <c r="D67">
        <v>15</v>
      </c>
      <c r="E67" s="3">
        <v>951.15</v>
      </c>
      <c r="F67">
        <f t="shared" si="0"/>
        <v>66</v>
      </c>
    </row>
    <row r="68" spans="1:6" x14ac:dyDescent="0.25">
      <c r="A68">
        <v>1</v>
      </c>
      <c r="B68" t="s">
        <v>242</v>
      </c>
      <c r="C68" t="s">
        <v>264</v>
      </c>
      <c r="D68">
        <v>16</v>
      </c>
      <c r="E68" s="3">
        <v>951.15</v>
      </c>
      <c r="F68">
        <f t="shared" ref="F68:F131" si="1">F67+1</f>
        <v>67</v>
      </c>
    </row>
    <row r="69" spans="1:6" x14ac:dyDescent="0.25">
      <c r="A69">
        <v>1</v>
      </c>
      <c r="B69" t="s">
        <v>242</v>
      </c>
      <c r="C69" t="s">
        <v>265</v>
      </c>
      <c r="D69">
        <v>17</v>
      </c>
      <c r="E69" s="3">
        <v>951.15</v>
      </c>
      <c r="F69">
        <f t="shared" si="1"/>
        <v>68</v>
      </c>
    </row>
    <row r="70" spans="1:6" x14ac:dyDescent="0.25">
      <c r="A70">
        <v>1</v>
      </c>
      <c r="B70" t="s">
        <v>242</v>
      </c>
      <c r="C70" t="s">
        <v>266</v>
      </c>
      <c r="D70">
        <v>19</v>
      </c>
      <c r="E70" s="3">
        <v>951.15</v>
      </c>
      <c r="F70">
        <f t="shared" si="1"/>
        <v>69</v>
      </c>
    </row>
    <row r="71" spans="1:6" x14ac:dyDescent="0.25">
      <c r="A71">
        <v>1</v>
      </c>
      <c r="B71" t="s">
        <v>242</v>
      </c>
      <c r="C71" t="s">
        <v>267</v>
      </c>
      <c r="D71">
        <v>20</v>
      </c>
      <c r="E71" s="3">
        <v>951.15</v>
      </c>
      <c r="F71">
        <f t="shared" si="1"/>
        <v>70</v>
      </c>
    </row>
    <row r="72" spans="1:6" x14ac:dyDescent="0.25">
      <c r="A72">
        <v>1</v>
      </c>
      <c r="B72" t="s">
        <v>242</v>
      </c>
      <c r="C72" t="s">
        <v>268</v>
      </c>
      <c r="D72">
        <v>21</v>
      </c>
      <c r="E72" s="3">
        <v>951.15</v>
      </c>
      <c r="F72">
        <f t="shared" si="1"/>
        <v>71</v>
      </c>
    </row>
    <row r="73" spans="1:6" x14ac:dyDescent="0.25">
      <c r="A73">
        <v>1</v>
      </c>
      <c r="B73" t="s">
        <v>242</v>
      </c>
      <c r="C73" t="s">
        <v>269</v>
      </c>
      <c r="D73">
        <v>22</v>
      </c>
      <c r="E73" s="3">
        <v>951.15</v>
      </c>
      <c r="F73">
        <f t="shared" si="1"/>
        <v>72</v>
      </c>
    </row>
    <row r="74" spans="1:6" x14ac:dyDescent="0.25">
      <c r="A74">
        <v>1</v>
      </c>
      <c r="B74" t="s">
        <v>242</v>
      </c>
      <c r="C74" t="s">
        <v>270</v>
      </c>
      <c r="D74">
        <v>23</v>
      </c>
      <c r="E74" s="3">
        <v>951.15</v>
      </c>
      <c r="F74">
        <f t="shared" si="1"/>
        <v>73</v>
      </c>
    </row>
    <row r="75" spans="1:6" x14ac:dyDescent="0.25">
      <c r="A75">
        <v>1</v>
      </c>
      <c r="B75" t="s">
        <v>242</v>
      </c>
      <c r="C75" t="s">
        <v>271</v>
      </c>
      <c r="D75">
        <v>24</v>
      </c>
      <c r="E75" s="3">
        <v>951.15</v>
      </c>
      <c r="F75">
        <f t="shared" si="1"/>
        <v>74</v>
      </c>
    </row>
    <row r="76" spans="1:6" x14ac:dyDescent="0.25">
      <c r="A76">
        <v>1</v>
      </c>
      <c r="B76" t="s">
        <v>242</v>
      </c>
      <c r="C76" t="s">
        <v>272</v>
      </c>
      <c r="D76">
        <v>25</v>
      </c>
      <c r="E76" s="3">
        <v>951.15</v>
      </c>
      <c r="F76">
        <f t="shared" si="1"/>
        <v>75</v>
      </c>
    </row>
    <row r="77" spans="1:6" x14ac:dyDescent="0.25">
      <c r="A77">
        <v>1</v>
      </c>
      <c r="B77" t="s">
        <v>242</v>
      </c>
      <c r="C77" t="s">
        <v>273</v>
      </c>
      <c r="D77">
        <v>26</v>
      </c>
      <c r="E77" s="3">
        <v>951.15</v>
      </c>
      <c r="F77">
        <f t="shared" si="1"/>
        <v>76</v>
      </c>
    </row>
    <row r="78" spans="1:6" x14ac:dyDescent="0.25">
      <c r="A78">
        <v>1</v>
      </c>
      <c r="B78" t="s">
        <v>242</v>
      </c>
      <c r="C78" t="s">
        <v>274</v>
      </c>
      <c r="D78">
        <v>27</v>
      </c>
      <c r="E78" s="3">
        <v>951.15</v>
      </c>
      <c r="F78">
        <f t="shared" si="1"/>
        <v>77</v>
      </c>
    </row>
    <row r="79" spans="1:6" x14ac:dyDescent="0.25">
      <c r="A79">
        <v>1</v>
      </c>
      <c r="B79" t="s">
        <v>242</v>
      </c>
      <c r="C79" t="s">
        <v>275</v>
      </c>
      <c r="D79">
        <v>29</v>
      </c>
      <c r="E79" s="3">
        <v>951.15</v>
      </c>
      <c r="F79">
        <f t="shared" si="1"/>
        <v>78</v>
      </c>
    </row>
    <row r="80" spans="1:6" x14ac:dyDescent="0.25">
      <c r="A80">
        <v>1</v>
      </c>
      <c r="B80" t="s">
        <v>242</v>
      </c>
      <c r="C80" t="s">
        <v>276</v>
      </c>
      <c r="D80">
        <v>33</v>
      </c>
      <c r="E80" s="3">
        <v>951.15</v>
      </c>
      <c r="F80">
        <f t="shared" si="1"/>
        <v>79</v>
      </c>
    </row>
    <row r="81" spans="1:6" x14ac:dyDescent="0.25">
      <c r="A81">
        <v>1</v>
      </c>
      <c r="B81" t="s">
        <v>242</v>
      </c>
      <c r="C81" t="s">
        <v>277</v>
      </c>
      <c r="D81">
        <v>35</v>
      </c>
      <c r="E81" s="3">
        <v>951.15</v>
      </c>
      <c r="F81">
        <f t="shared" si="1"/>
        <v>80</v>
      </c>
    </row>
    <row r="82" spans="1:6" x14ac:dyDescent="0.25">
      <c r="A82">
        <v>1</v>
      </c>
      <c r="B82" t="s">
        <v>242</v>
      </c>
      <c r="C82" t="s">
        <v>278</v>
      </c>
      <c r="D82">
        <v>37</v>
      </c>
      <c r="E82" s="3">
        <v>951.15</v>
      </c>
      <c r="F82">
        <f t="shared" si="1"/>
        <v>81</v>
      </c>
    </row>
    <row r="83" spans="1:6" x14ac:dyDescent="0.25">
      <c r="A83">
        <v>1</v>
      </c>
      <c r="B83" t="s">
        <v>242</v>
      </c>
      <c r="C83" t="s">
        <v>279</v>
      </c>
      <c r="D83">
        <v>39</v>
      </c>
      <c r="E83" s="3">
        <v>951.15</v>
      </c>
      <c r="F83">
        <f t="shared" si="1"/>
        <v>82</v>
      </c>
    </row>
    <row r="84" spans="1:6" x14ac:dyDescent="0.25">
      <c r="A84">
        <v>1</v>
      </c>
      <c r="B84" t="s">
        <v>242</v>
      </c>
      <c r="C84" t="s">
        <v>280</v>
      </c>
      <c r="D84">
        <v>40</v>
      </c>
      <c r="E84" s="3">
        <v>951.15</v>
      </c>
      <c r="F84">
        <f t="shared" si="1"/>
        <v>83</v>
      </c>
    </row>
    <row r="85" spans="1:6" x14ac:dyDescent="0.25">
      <c r="A85">
        <v>1</v>
      </c>
      <c r="B85" t="s">
        <v>242</v>
      </c>
      <c r="C85" t="s">
        <v>281</v>
      </c>
      <c r="D85">
        <v>42</v>
      </c>
      <c r="E85" s="3">
        <v>951.15</v>
      </c>
      <c r="F85">
        <f t="shared" si="1"/>
        <v>84</v>
      </c>
    </row>
    <row r="86" spans="1:6" x14ac:dyDescent="0.25">
      <c r="A86">
        <v>1</v>
      </c>
      <c r="B86" t="s">
        <v>242</v>
      </c>
      <c r="C86" t="s">
        <v>282</v>
      </c>
      <c r="D86">
        <v>43</v>
      </c>
      <c r="E86" s="3">
        <v>951.15</v>
      </c>
      <c r="F86">
        <f t="shared" si="1"/>
        <v>85</v>
      </c>
    </row>
    <row r="87" spans="1:6" x14ac:dyDescent="0.25">
      <c r="A87">
        <v>1</v>
      </c>
      <c r="B87" t="s">
        <v>242</v>
      </c>
      <c r="C87" t="s">
        <v>283</v>
      </c>
      <c r="D87">
        <v>44</v>
      </c>
      <c r="E87" s="3">
        <v>951.15</v>
      </c>
      <c r="F87">
        <f t="shared" si="1"/>
        <v>86</v>
      </c>
    </row>
    <row r="88" spans="1:6" x14ac:dyDescent="0.25">
      <c r="A88">
        <v>1</v>
      </c>
      <c r="B88" t="s">
        <v>242</v>
      </c>
      <c r="C88" t="s">
        <v>284</v>
      </c>
      <c r="D88">
        <v>45</v>
      </c>
      <c r="E88" s="3">
        <v>951.15</v>
      </c>
      <c r="F88">
        <f t="shared" si="1"/>
        <v>87</v>
      </c>
    </row>
    <row r="89" spans="1:6" x14ac:dyDescent="0.25">
      <c r="A89">
        <v>1</v>
      </c>
      <c r="B89" t="s">
        <v>242</v>
      </c>
      <c r="C89" t="s">
        <v>285</v>
      </c>
      <c r="D89">
        <v>46</v>
      </c>
      <c r="E89" s="3">
        <v>951.15</v>
      </c>
      <c r="F89">
        <f t="shared" si="1"/>
        <v>88</v>
      </c>
    </row>
    <row r="90" spans="1:6" x14ac:dyDescent="0.25">
      <c r="A90">
        <v>1</v>
      </c>
      <c r="B90" t="s">
        <v>242</v>
      </c>
      <c r="C90" t="s">
        <v>286</v>
      </c>
      <c r="D90">
        <v>47</v>
      </c>
      <c r="E90" s="3">
        <v>951.15</v>
      </c>
      <c r="F90">
        <f t="shared" si="1"/>
        <v>89</v>
      </c>
    </row>
    <row r="91" spans="1:6" x14ac:dyDescent="0.25">
      <c r="A91">
        <v>1</v>
      </c>
      <c r="B91" t="s">
        <v>242</v>
      </c>
      <c r="C91" t="s">
        <v>287</v>
      </c>
      <c r="D91">
        <v>48</v>
      </c>
      <c r="E91" s="3">
        <v>951.15</v>
      </c>
      <c r="F91">
        <f t="shared" si="1"/>
        <v>90</v>
      </c>
    </row>
    <row r="92" spans="1:6" x14ac:dyDescent="0.25">
      <c r="A92">
        <v>1</v>
      </c>
      <c r="B92" t="s">
        <v>242</v>
      </c>
      <c r="C92" t="s">
        <v>288</v>
      </c>
      <c r="D92">
        <v>49</v>
      </c>
      <c r="E92" s="3">
        <v>951.15</v>
      </c>
      <c r="F92">
        <f t="shared" si="1"/>
        <v>91</v>
      </c>
    </row>
    <row r="93" spans="1:6" x14ac:dyDescent="0.25">
      <c r="A93">
        <v>1</v>
      </c>
      <c r="B93" t="s">
        <v>242</v>
      </c>
      <c r="C93" t="s">
        <v>289</v>
      </c>
      <c r="D93">
        <v>51</v>
      </c>
      <c r="E93" s="3">
        <v>951.15</v>
      </c>
      <c r="F93">
        <f t="shared" si="1"/>
        <v>92</v>
      </c>
    </row>
    <row r="94" spans="1:6" x14ac:dyDescent="0.25">
      <c r="A94">
        <v>1</v>
      </c>
      <c r="B94" t="s">
        <v>242</v>
      </c>
      <c r="C94" t="s">
        <v>290</v>
      </c>
      <c r="D94">
        <v>52</v>
      </c>
      <c r="E94" s="3">
        <v>951.15</v>
      </c>
      <c r="F94">
        <f t="shared" si="1"/>
        <v>93</v>
      </c>
    </row>
    <row r="95" spans="1:6" x14ac:dyDescent="0.25">
      <c r="A95">
        <v>1</v>
      </c>
      <c r="B95" t="s">
        <v>242</v>
      </c>
      <c r="C95" t="s">
        <v>291</v>
      </c>
      <c r="D95">
        <v>53</v>
      </c>
      <c r="E95" s="3">
        <v>951.15</v>
      </c>
      <c r="F95">
        <f t="shared" si="1"/>
        <v>94</v>
      </c>
    </row>
    <row r="96" spans="1:6" x14ac:dyDescent="0.25">
      <c r="A96">
        <v>1</v>
      </c>
      <c r="B96" t="s">
        <v>242</v>
      </c>
      <c r="C96" t="s">
        <v>292</v>
      </c>
      <c r="D96">
        <v>54</v>
      </c>
      <c r="E96" s="3">
        <v>951.15</v>
      </c>
      <c r="F96">
        <f t="shared" si="1"/>
        <v>95</v>
      </c>
    </row>
    <row r="97" spans="1:6" x14ac:dyDescent="0.25">
      <c r="A97">
        <v>1</v>
      </c>
      <c r="B97" t="s">
        <v>242</v>
      </c>
      <c r="C97" t="s">
        <v>293</v>
      </c>
      <c r="D97">
        <v>55</v>
      </c>
      <c r="E97" s="3">
        <v>951.15</v>
      </c>
      <c r="F97">
        <f t="shared" si="1"/>
        <v>96</v>
      </c>
    </row>
    <row r="98" spans="1:6" x14ac:dyDescent="0.25">
      <c r="A98">
        <v>1</v>
      </c>
      <c r="B98" t="s">
        <v>242</v>
      </c>
      <c r="C98" t="s">
        <v>294</v>
      </c>
      <c r="D98">
        <v>56</v>
      </c>
      <c r="E98" s="3">
        <v>951.15</v>
      </c>
      <c r="F98">
        <f t="shared" si="1"/>
        <v>97</v>
      </c>
    </row>
    <row r="99" spans="1:6" x14ac:dyDescent="0.25">
      <c r="A99">
        <v>1</v>
      </c>
      <c r="B99" t="s">
        <v>242</v>
      </c>
      <c r="C99" t="s">
        <v>295</v>
      </c>
      <c r="D99">
        <v>57</v>
      </c>
      <c r="E99" s="3">
        <v>951.15</v>
      </c>
      <c r="F99">
        <f t="shared" si="1"/>
        <v>98</v>
      </c>
    </row>
    <row r="100" spans="1:6" x14ac:dyDescent="0.25">
      <c r="A100">
        <v>1</v>
      </c>
      <c r="B100" t="s">
        <v>242</v>
      </c>
      <c r="C100" t="s">
        <v>296</v>
      </c>
      <c r="D100">
        <v>58</v>
      </c>
      <c r="E100" s="3">
        <v>951.15</v>
      </c>
      <c r="F100">
        <f t="shared" si="1"/>
        <v>99</v>
      </c>
    </row>
    <row r="101" spans="1:6" x14ac:dyDescent="0.25">
      <c r="A101">
        <v>1</v>
      </c>
      <c r="B101" t="s">
        <v>242</v>
      </c>
      <c r="C101" t="s">
        <v>297</v>
      </c>
      <c r="D101">
        <v>60</v>
      </c>
      <c r="E101" s="3">
        <v>951.15</v>
      </c>
      <c r="F101">
        <f t="shared" si="1"/>
        <v>100</v>
      </c>
    </row>
    <row r="102" spans="1:6" x14ac:dyDescent="0.25">
      <c r="A102">
        <v>1</v>
      </c>
      <c r="B102" t="s">
        <v>242</v>
      </c>
      <c r="C102" t="s">
        <v>298</v>
      </c>
      <c r="D102">
        <v>61</v>
      </c>
      <c r="E102" s="3">
        <v>951.15</v>
      </c>
      <c r="F102">
        <f t="shared" si="1"/>
        <v>101</v>
      </c>
    </row>
    <row r="103" spans="1:6" x14ac:dyDescent="0.25">
      <c r="A103">
        <v>1</v>
      </c>
      <c r="B103" t="s">
        <v>242</v>
      </c>
      <c r="C103" t="s">
        <v>299</v>
      </c>
      <c r="D103">
        <v>63</v>
      </c>
      <c r="E103" s="3">
        <v>951.15</v>
      </c>
      <c r="F103">
        <f t="shared" si="1"/>
        <v>102</v>
      </c>
    </row>
    <row r="104" spans="1:6" x14ac:dyDescent="0.25">
      <c r="A104">
        <v>1</v>
      </c>
      <c r="B104" t="s">
        <v>242</v>
      </c>
      <c r="C104" t="s">
        <v>300</v>
      </c>
      <c r="D104">
        <v>64</v>
      </c>
      <c r="E104" s="3">
        <v>951.15</v>
      </c>
      <c r="F104">
        <f t="shared" si="1"/>
        <v>103</v>
      </c>
    </row>
    <row r="105" spans="1:6" x14ac:dyDescent="0.25">
      <c r="A105">
        <v>1</v>
      </c>
      <c r="B105" t="s">
        <v>242</v>
      </c>
      <c r="C105" t="s">
        <v>301</v>
      </c>
      <c r="D105">
        <v>66</v>
      </c>
      <c r="E105" s="3">
        <v>951.15</v>
      </c>
      <c r="F105">
        <f t="shared" si="1"/>
        <v>104</v>
      </c>
    </row>
    <row r="106" spans="1:6" x14ac:dyDescent="0.25">
      <c r="A106">
        <v>1</v>
      </c>
      <c r="B106" t="s">
        <v>242</v>
      </c>
      <c r="C106" t="s">
        <v>302</v>
      </c>
      <c r="D106">
        <v>67</v>
      </c>
      <c r="E106" s="3">
        <v>951.15</v>
      </c>
      <c r="F106">
        <f t="shared" si="1"/>
        <v>105</v>
      </c>
    </row>
    <row r="107" spans="1:6" x14ac:dyDescent="0.25">
      <c r="A107">
        <v>1</v>
      </c>
      <c r="B107" t="s">
        <v>242</v>
      </c>
      <c r="C107" t="s">
        <v>303</v>
      </c>
      <c r="D107">
        <v>68</v>
      </c>
      <c r="E107" s="3">
        <v>951.15</v>
      </c>
      <c r="F107">
        <f t="shared" si="1"/>
        <v>106</v>
      </c>
    </row>
    <row r="108" spans="1:6" x14ac:dyDescent="0.25">
      <c r="A108">
        <v>1</v>
      </c>
      <c r="B108" t="s">
        <v>242</v>
      </c>
      <c r="C108" t="s">
        <v>304</v>
      </c>
      <c r="D108">
        <v>69</v>
      </c>
      <c r="E108" s="3">
        <v>951.15</v>
      </c>
      <c r="F108">
        <f t="shared" si="1"/>
        <v>107</v>
      </c>
    </row>
    <row r="109" spans="1:6" x14ac:dyDescent="0.25">
      <c r="A109">
        <v>1</v>
      </c>
      <c r="B109" t="s">
        <v>242</v>
      </c>
      <c r="C109" t="s">
        <v>305</v>
      </c>
      <c r="D109">
        <v>77</v>
      </c>
      <c r="E109" s="3">
        <v>951.15</v>
      </c>
      <c r="F109">
        <f t="shared" si="1"/>
        <v>108</v>
      </c>
    </row>
    <row r="110" spans="1:6" x14ac:dyDescent="0.25">
      <c r="A110">
        <v>1</v>
      </c>
      <c r="B110" t="s">
        <v>242</v>
      </c>
      <c r="C110" t="s">
        <v>306</v>
      </c>
      <c r="D110">
        <v>78</v>
      </c>
      <c r="E110" s="3">
        <v>951.15</v>
      </c>
      <c r="F110">
        <f t="shared" si="1"/>
        <v>109</v>
      </c>
    </row>
    <row r="111" spans="1:6" x14ac:dyDescent="0.25">
      <c r="A111">
        <v>1</v>
      </c>
      <c r="B111" t="s">
        <v>242</v>
      </c>
      <c r="C111" t="s">
        <v>307</v>
      </c>
      <c r="D111">
        <v>82</v>
      </c>
      <c r="E111" s="3">
        <v>951.15</v>
      </c>
      <c r="F111">
        <f t="shared" si="1"/>
        <v>110</v>
      </c>
    </row>
    <row r="112" spans="1:6" x14ac:dyDescent="0.25">
      <c r="A112">
        <v>1</v>
      </c>
      <c r="B112" t="s">
        <v>242</v>
      </c>
      <c r="C112" t="s">
        <v>308</v>
      </c>
      <c r="D112">
        <v>83</v>
      </c>
      <c r="E112" s="3">
        <v>951.15</v>
      </c>
      <c r="F112">
        <f t="shared" si="1"/>
        <v>111</v>
      </c>
    </row>
    <row r="113" spans="1:6" x14ac:dyDescent="0.25">
      <c r="A113">
        <v>1</v>
      </c>
      <c r="B113" t="s">
        <v>242</v>
      </c>
      <c r="C113" t="s">
        <v>309</v>
      </c>
      <c r="D113">
        <v>88</v>
      </c>
      <c r="E113" s="3">
        <v>951.15</v>
      </c>
      <c r="F113">
        <f t="shared" si="1"/>
        <v>112</v>
      </c>
    </row>
    <row r="114" spans="1:6" x14ac:dyDescent="0.25">
      <c r="A114">
        <v>1</v>
      </c>
      <c r="B114" t="s">
        <v>242</v>
      </c>
      <c r="C114" t="s">
        <v>310</v>
      </c>
      <c r="D114">
        <v>89</v>
      </c>
      <c r="E114" s="3">
        <v>951.15</v>
      </c>
      <c r="F114">
        <f t="shared" si="1"/>
        <v>113</v>
      </c>
    </row>
    <row r="115" spans="1:6" x14ac:dyDescent="0.25">
      <c r="A115">
        <v>1</v>
      </c>
      <c r="B115" t="s">
        <v>242</v>
      </c>
      <c r="C115" t="s">
        <v>311</v>
      </c>
      <c r="D115">
        <v>91</v>
      </c>
      <c r="E115" s="3">
        <v>951.15</v>
      </c>
      <c r="F115">
        <f t="shared" si="1"/>
        <v>114</v>
      </c>
    </row>
    <row r="116" spans="1:6" x14ac:dyDescent="0.25">
      <c r="A116">
        <v>1</v>
      </c>
      <c r="B116" t="s">
        <v>242</v>
      </c>
      <c r="C116" t="s">
        <v>312</v>
      </c>
      <c r="D116">
        <v>93</v>
      </c>
      <c r="E116" s="3">
        <v>951.15</v>
      </c>
      <c r="F116">
        <f t="shared" si="1"/>
        <v>115</v>
      </c>
    </row>
    <row r="117" spans="1:6" x14ac:dyDescent="0.25">
      <c r="A117">
        <v>1</v>
      </c>
      <c r="B117" t="s">
        <v>242</v>
      </c>
      <c r="C117" t="s">
        <v>313</v>
      </c>
      <c r="D117">
        <v>94</v>
      </c>
      <c r="E117" s="3">
        <v>951.15</v>
      </c>
      <c r="F117">
        <f t="shared" si="1"/>
        <v>116</v>
      </c>
    </row>
    <row r="118" spans="1:6" x14ac:dyDescent="0.25">
      <c r="A118">
        <v>1</v>
      </c>
      <c r="B118" t="s">
        <v>242</v>
      </c>
      <c r="C118" t="s">
        <v>314</v>
      </c>
      <c r="D118">
        <v>95</v>
      </c>
      <c r="E118" s="3">
        <v>951.15</v>
      </c>
      <c r="F118">
        <f t="shared" si="1"/>
        <v>117</v>
      </c>
    </row>
    <row r="119" spans="1:6" x14ac:dyDescent="0.25">
      <c r="A119">
        <v>1</v>
      </c>
      <c r="B119" t="s">
        <v>242</v>
      </c>
      <c r="C119" t="s">
        <v>315</v>
      </c>
      <c r="D119">
        <v>96</v>
      </c>
      <c r="E119" s="3">
        <v>951.15</v>
      </c>
      <c r="F119">
        <f t="shared" si="1"/>
        <v>118</v>
      </c>
    </row>
    <row r="120" spans="1:6" x14ac:dyDescent="0.25">
      <c r="A120">
        <v>1</v>
      </c>
      <c r="B120" t="s">
        <v>242</v>
      </c>
      <c r="C120" t="s">
        <v>316</v>
      </c>
      <c r="D120">
        <v>97</v>
      </c>
      <c r="E120" s="3">
        <v>951.15</v>
      </c>
      <c r="F120">
        <f t="shared" si="1"/>
        <v>119</v>
      </c>
    </row>
    <row r="121" spans="1:6" x14ac:dyDescent="0.25">
      <c r="A121">
        <v>1</v>
      </c>
      <c r="B121" t="s">
        <v>242</v>
      </c>
      <c r="C121" t="s">
        <v>317</v>
      </c>
      <c r="D121">
        <v>100</v>
      </c>
      <c r="E121" s="3">
        <v>951.15</v>
      </c>
      <c r="F121">
        <f t="shared" si="1"/>
        <v>120</v>
      </c>
    </row>
    <row r="122" spans="1:6" x14ac:dyDescent="0.25">
      <c r="A122">
        <v>1</v>
      </c>
      <c r="B122" t="s">
        <v>242</v>
      </c>
      <c r="C122" t="s">
        <v>318</v>
      </c>
      <c r="D122">
        <v>104</v>
      </c>
      <c r="E122" s="3">
        <v>951.15</v>
      </c>
      <c r="F122">
        <f t="shared" si="1"/>
        <v>121</v>
      </c>
    </row>
    <row r="123" spans="1:6" x14ac:dyDescent="0.25">
      <c r="A123">
        <v>1</v>
      </c>
      <c r="B123" t="s">
        <v>242</v>
      </c>
      <c r="C123" t="s">
        <v>319</v>
      </c>
      <c r="D123">
        <v>105</v>
      </c>
      <c r="E123" s="3">
        <v>951.15</v>
      </c>
      <c r="F123">
        <f t="shared" si="1"/>
        <v>122</v>
      </c>
    </row>
    <row r="124" spans="1:6" x14ac:dyDescent="0.25">
      <c r="A124">
        <v>1</v>
      </c>
      <c r="B124" t="s">
        <v>242</v>
      </c>
      <c r="C124" t="s">
        <v>320</v>
      </c>
      <c r="D124">
        <v>106</v>
      </c>
      <c r="E124" s="3">
        <v>951.15</v>
      </c>
      <c r="F124">
        <f t="shared" si="1"/>
        <v>123</v>
      </c>
    </row>
    <row r="125" spans="1:6" x14ac:dyDescent="0.25">
      <c r="A125">
        <v>1</v>
      </c>
      <c r="B125" t="s">
        <v>242</v>
      </c>
      <c r="C125" t="s">
        <v>321</v>
      </c>
      <c r="D125">
        <v>111</v>
      </c>
      <c r="E125" s="3">
        <v>951.15</v>
      </c>
      <c r="F125">
        <f t="shared" si="1"/>
        <v>124</v>
      </c>
    </row>
    <row r="126" spans="1:6" x14ac:dyDescent="0.25">
      <c r="A126">
        <v>1</v>
      </c>
      <c r="B126" t="s">
        <v>242</v>
      </c>
      <c r="C126" t="s">
        <v>322</v>
      </c>
      <c r="D126">
        <v>112</v>
      </c>
      <c r="E126" s="3">
        <v>951.15</v>
      </c>
      <c r="F126">
        <f t="shared" si="1"/>
        <v>125</v>
      </c>
    </row>
    <row r="127" spans="1:6" x14ac:dyDescent="0.25">
      <c r="A127">
        <v>1</v>
      </c>
      <c r="B127" t="s">
        <v>242</v>
      </c>
      <c r="C127" t="s">
        <v>323</v>
      </c>
      <c r="D127">
        <v>116</v>
      </c>
      <c r="E127" s="3">
        <v>951.15</v>
      </c>
      <c r="F127">
        <f t="shared" si="1"/>
        <v>126</v>
      </c>
    </row>
    <row r="128" spans="1:6" x14ac:dyDescent="0.25">
      <c r="A128">
        <v>1</v>
      </c>
      <c r="B128" t="s">
        <v>242</v>
      </c>
      <c r="C128" t="s">
        <v>324</v>
      </c>
      <c r="D128">
        <v>122</v>
      </c>
      <c r="E128" s="3">
        <v>951.15</v>
      </c>
      <c r="F128">
        <f t="shared" si="1"/>
        <v>127</v>
      </c>
    </row>
    <row r="129" spans="1:6" x14ac:dyDescent="0.25">
      <c r="A129">
        <v>1</v>
      </c>
      <c r="B129" t="s">
        <v>242</v>
      </c>
      <c r="C129" t="s">
        <v>325</v>
      </c>
      <c r="D129">
        <v>129</v>
      </c>
      <c r="E129" s="3">
        <v>951.15</v>
      </c>
      <c r="F129">
        <f t="shared" si="1"/>
        <v>128</v>
      </c>
    </row>
    <row r="130" spans="1:6" x14ac:dyDescent="0.25">
      <c r="A130">
        <v>1</v>
      </c>
      <c r="B130" t="s">
        <v>242</v>
      </c>
      <c r="C130" t="s">
        <v>326</v>
      </c>
      <c r="D130">
        <v>132</v>
      </c>
      <c r="E130" s="3">
        <v>951.15</v>
      </c>
      <c r="F130">
        <f t="shared" si="1"/>
        <v>129</v>
      </c>
    </row>
    <row r="131" spans="1:6" x14ac:dyDescent="0.25">
      <c r="A131">
        <v>1</v>
      </c>
      <c r="B131" t="s">
        <v>242</v>
      </c>
      <c r="C131" t="s">
        <v>327</v>
      </c>
      <c r="D131">
        <v>134</v>
      </c>
      <c r="E131" s="3">
        <v>951.15</v>
      </c>
      <c r="F131">
        <f t="shared" si="1"/>
        <v>130</v>
      </c>
    </row>
    <row r="132" spans="1:6" x14ac:dyDescent="0.25">
      <c r="A132">
        <v>1</v>
      </c>
      <c r="B132" t="s">
        <v>242</v>
      </c>
      <c r="C132" t="s">
        <v>328</v>
      </c>
      <c r="D132">
        <v>135</v>
      </c>
      <c r="E132" s="3">
        <v>951.15</v>
      </c>
      <c r="F132">
        <f t="shared" ref="F132:F195" si="2">F131+1</f>
        <v>131</v>
      </c>
    </row>
    <row r="133" spans="1:6" x14ac:dyDescent="0.25">
      <c r="A133">
        <v>1</v>
      </c>
      <c r="B133" t="s">
        <v>242</v>
      </c>
      <c r="C133" t="s">
        <v>329</v>
      </c>
      <c r="D133">
        <v>138</v>
      </c>
      <c r="E133" s="3">
        <v>951.15</v>
      </c>
      <c r="F133">
        <f t="shared" si="2"/>
        <v>132</v>
      </c>
    </row>
    <row r="134" spans="1:6" x14ac:dyDescent="0.25">
      <c r="A134">
        <v>1</v>
      </c>
      <c r="B134" t="s">
        <v>242</v>
      </c>
      <c r="C134" t="s">
        <v>330</v>
      </c>
      <c r="D134">
        <v>139</v>
      </c>
      <c r="E134" s="3">
        <v>951.15</v>
      </c>
      <c r="F134">
        <f t="shared" si="2"/>
        <v>133</v>
      </c>
    </row>
    <row r="135" spans="1:6" x14ac:dyDescent="0.25">
      <c r="A135">
        <v>1</v>
      </c>
      <c r="B135" t="s">
        <v>242</v>
      </c>
      <c r="C135" t="s">
        <v>331</v>
      </c>
      <c r="D135">
        <v>142</v>
      </c>
      <c r="E135" s="3">
        <v>951.15</v>
      </c>
      <c r="F135">
        <f t="shared" si="2"/>
        <v>134</v>
      </c>
    </row>
    <row r="136" spans="1:6" x14ac:dyDescent="0.25">
      <c r="A136">
        <v>1</v>
      </c>
      <c r="B136" t="s">
        <v>242</v>
      </c>
      <c r="C136" t="s">
        <v>332</v>
      </c>
      <c r="D136">
        <v>143</v>
      </c>
      <c r="E136" s="3">
        <v>951.15</v>
      </c>
      <c r="F136">
        <f t="shared" si="2"/>
        <v>135</v>
      </c>
    </row>
    <row r="137" spans="1:6" x14ac:dyDescent="0.25">
      <c r="A137">
        <v>1</v>
      </c>
      <c r="B137" t="s">
        <v>242</v>
      </c>
      <c r="C137" t="s">
        <v>333</v>
      </c>
      <c r="D137">
        <v>145</v>
      </c>
      <c r="E137" s="3">
        <v>951.15</v>
      </c>
      <c r="F137">
        <f t="shared" si="2"/>
        <v>136</v>
      </c>
    </row>
    <row r="138" spans="1:6" x14ac:dyDescent="0.25">
      <c r="A138">
        <v>1</v>
      </c>
      <c r="B138" t="s">
        <v>242</v>
      </c>
      <c r="C138" t="s">
        <v>334</v>
      </c>
      <c r="D138">
        <v>147</v>
      </c>
      <c r="E138" s="3">
        <v>951.15</v>
      </c>
      <c r="F138">
        <f t="shared" si="2"/>
        <v>137</v>
      </c>
    </row>
    <row r="139" spans="1:6" x14ac:dyDescent="0.25">
      <c r="A139">
        <v>1</v>
      </c>
      <c r="B139" t="s">
        <v>242</v>
      </c>
      <c r="C139" t="s">
        <v>335</v>
      </c>
      <c r="D139">
        <v>148</v>
      </c>
      <c r="E139" s="3">
        <v>951.15</v>
      </c>
      <c r="F139">
        <f t="shared" si="2"/>
        <v>138</v>
      </c>
    </row>
    <row r="140" spans="1:6" x14ac:dyDescent="0.25">
      <c r="A140">
        <v>1</v>
      </c>
      <c r="B140" t="s">
        <v>242</v>
      </c>
      <c r="C140" t="s">
        <v>336</v>
      </c>
      <c r="D140">
        <v>149</v>
      </c>
      <c r="E140" s="3">
        <v>951.15</v>
      </c>
      <c r="F140">
        <f t="shared" si="2"/>
        <v>139</v>
      </c>
    </row>
    <row r="141" spans="1:6" x14ac:dyDescent="0.25">
      <c r="A141">
        <v>1</v>
      </c>
      <c r="B141" t="s">
        <v>242</v>
      </c>
      <c r="C141" t="s">
        <v>337</v>
      </c>
      <c r="D141">
        <v>150</v>
      </c>
      <c r="E141" s="3">
        <v>951.15</v>
      </c>
      <c r="F141">
        <f t="shared" si="2"/>
        <v>140</v>
      </c>
    </row>
    <row r="142" spans="1:6" x14ac:dyDescent="0.25">
      <c r="A142">
        <v>1</v>
      </c>
      <c r="B142" t="s">
        <v>242</v>
      </c>
      <c r="C142" t="s">
        <v>338</v>
      </c>
      <c r="D142">
        <v>151</v>
      </c>
      <c r="E142" s="3">
        <v>951.15</v>
      </c>
      <c r="F142">
        <f t="shared" si="2"/>
        <v>141</v>
      </c>
    </row>
    <row r="143" spans="1:6" x14ac:dyDescent="0.25">
      <c r="A143">
        <v>1</v>
      </c>
      <c r="B143" t="s">
        <v>242</v>
      </c>
      <c r="C143" t="s">
        <v>339</v>
      </c>
      <c r="D143">
        <v>160</v>
      </c>
      <c r="E143" s="3">
        <v>951.15</v>
      </c>
      <c r="F143">
        <f t="shared" si="2"/>
        <v>142</v>
      </c>
    </row>
    <row r="144" spans="1:6" x14ac:dyDescent="0.25">
      <c r="A144">
        <v>1</v>
      </c>
      <c r="B144" t="s">
        <v>242</v>
      </c>
      <c r="C144" t="s">
        <v>340</v>
      </c>
      <c r="D144">
        <v>163</v>
      </c>
      <c r="E144" s="3">
        <v>951.15</v>
      </c>
      <c r="F144">
        <f t="shared" si="2"/>
        <v>143</v>
      </c>
    </row>
    <row r="145" spans="1:6" x14ac:dyDescent="0.25">
      <c r="A145">
        <v>1</v>
      </c>
      <c r="B145" t="s">
        <v>242</v>
      </c>
      <c r="C145" t="s">
        <v>341</v>
      </c>
      <c r="D145">
        <v>170</v>
      </c>
      <c r="E145" s="3">
        <v>951.15</v>
      </c>
      <c r="F145">
        <f t="shared" si="2"/>
        <v>144</v>
      </c>
    </row>
    <row r="146" spans="1:6" x14ac:dyDescent="0.25">
      <c r="A146">
        <v>1</v>
      </c>
      <c r="B146" t="s">
        <v>242</v>
      </c>
      <c r="C146" t="s">
        <v>342</v>
      </c>
      <c r="D146">
        <v>174</v>
      </c>
      <c r="E146" s="3">
        <v>951.15</v>
      </c>
      <c r="F146">
        <f t="shared" si="2"/>
        <v>145</v>
      </c>
    </row>
    <row r="147" spans="1:6" x14ac:dyDescent="0.25">
      <c r="A147">
        <v>1</v>
      </c>
      <c r="B147" t="s">
        <v>242</v>
      </c>
      <c r="C147" t="s">
        <v>343</v>
      </c>
      <c r="D147">
        <v>175</v>
      </c>
      <c r="E147" s="3">
        <v>951.15</v>
      </c>
      <c r="F147">
        <f t="shared" si="2"/>
        <v>146</v>
      </c>
    </row>
    <row r="148" spans="1:6" x14ac:dyDescent="0.25">
      <c r="A148">
        <v>1</v>
      </c>
      <c r="B148" t="s">
        <v>242</v>
      </c>
      <c r="C148" t="s">
        <v>344</v>
      </c>
      <c r="D148">
        <v>176</v>
      </c>
      <c r="E148" s="3">
        <v>951.15</v>
      </c>
      <c r="F148">
        <f t="shared" si="2"/>
        <v>147</v>
      </c>
    </row>
    <row r="149" spans="1:6" x14ac:dyDescent="0.25">
      <c r="A149">
        <v>1</v>
      </c>
      <c r="B149" t="s">
        <v>242</v>
      </c>
      <c r="C149" t="s">
        <v>345</v>
      </c>
      <c r="D149">
        <v>177</v>
      </c>
      <c r="E149" s="3">
        <v>951.15</v>
      </c>
      <c r="F149">
        <f t="shared" si="2"/>
        <v>148</v>
      </c>
    </row>
    <row r="150" spans="1:6" x14ac:dyDescent="0.25">
      <c r="A150">
        <v>1</v>
      </c>
      <c r="B150" t="s">
        <v>242</v>
      </c>
      <c r="C150" t="s">
        <v>346</v>
      </c>
      <c r="D150">
        <v>178</v>
      </c>
      <c r="E150" s="3">
        <v>951.15</v>
      </c>
      <c r="F150">
        <f t="shared" si="2"/>
        <v>149</v>
      </c>
    </row>
    <row r="151" spans="1:6" x14ac:dyDescent="0.25">
      <c r="A151">
        <v>1</v>
      </c>
      <c r="B151" t="s">
        <v>242</v>
      </c>
      <c r="C151" t="s">
        <v>347</v>
      </c>
      <c r="D151">
        <v>183</v>
      </c>
      <c r="E151" s="3">
        <v>951.15</v>
      </c>
      <c r="F151">
        <f t="shared" si="2"/>
        <v>150</v>
      </c>
    </row>
    <row r="152" spans="1:6" x14ac:dyDescent="0.25">
      <c r="A152">
        <v>1</v>
      </c>
      <c r="B152" t="s">
        <v>242</v>
      </c>
      <c r="C152" t="s">
        <v>348</v>
      </c>
      <c r="D152">
        <v>184</v>
      </c>
      <c r="E152" s="3">
        <v>951.15</v>
      </c>
      <c r="F152">
        <f t="shared" si="2"/>
        <v>151</v>
      </c>
    </row>
    <row r="153" spans="1:6" x14ac:dyDescent="0.25">
      <c r="A153">
        <v>1</v>
      </c>
      <c r="B153" t="s">
        <v>242</v>
      </c>
      <c r="C153" t="s">
        <v>349</v>
      </c>
      <c r="D153">
        <v>187</v>
      </c>
      <c r="E153" s="3">
        <v>951.15</v>
      </c>
      <c r="F153">
        <f t="shared" si="2"/>
        <v>152</v>
      </c>
    </row>
    <row r="154" spans="1:6" x14ac:dyDescent="0.25">
      <c r="A154">
        <v>1</v>
      </c>
      <c r="B154" t="s">
        <v>242</v>
      </c>
      <c r="C154" t="s">
        <v>350</v>
      </c>
      <c r="D154">
        <v>188</v>
      </c>
      <c r="E154" s="3">
        <v>951.15</v>
      </c>
      <c r="F154">
        <f t="shared" si="2"/>
        <v>153</v>
      </c>
    </row>
    <row r="155" spans="1:6" x14ac:dyDescent="0.25">
      <c r="A155">
        <v>1</v>
      </c>
      <c r="B155" t="s">
        <v>242</v>
      </c>
      <c r="C155" t="s">
        <v>351</v>
      </c>
      <c r="D155">
        <v>190</v>
      </c>
      <c r="E155" s="3">
        <v>951.15</v>
      </c>
      <c r="F155">
        <f t="shared" si="2"/>
        <v>154</v>
      </c>
    </row>
    <row r="156" spans="1:6" x14ac:dyDescent="0.25">
      <c r="A156">
        <v>1</v>
      </c>
      <c r="B156" t="s">
        <v>242</v>
      </c>
      <c r="C156" t="s">
        <v>352</v>
      </c>
      <c r="D156">
        <v>192</v>
      </c>
      <c r="E156" s="3">
        <v>951.15</v>
      </c>
      <c r="F156">
        <f t="shared" si="2"/>
        <v>155</v>
      </c>
    </row>
    <row r="157" spans="1:6" x14ac:dyDescent="0.25">
      <c r="A157">
        <v>1</v>
      </c>
      <c r="B157" t="s">
        <v>242</v>
      </c>
      <c r="C157" t="s">
        <v>353</v>
      </c>
      <c r="D157">
        <v>198</v>
      </c>
      <c r="E157" s="3">
        <v>951.15</v>
      </c>
      <c r="F157">
        <f t="shared" si="2"/>
        <v>156</v>
      </c>
    </row>
    <row r="158" spans="1:6" x14ac:dyDescent="0.25">
      <c r="A158">
        <v>1</v>
      </c>
      <c r="B158" t="s">
        <v>242</v>
      </c>
      <c r="C158" t="s">
        <v>354</v>
      </c>
      <c r="D158">
        <v>204</v>
      </c>
      <c r="E158" s="3">
        <v>951.15</v>
      </c>
      <c r="F158">
        <f t="shared" si="2"/>
        <v>157</v>
      </c>
    </row>
    <row r="159" spans="1:6" x14ac:dyDescent="0.25">
      <c r="A159">
        <v>1</v>
      </c>
      <c r="B159" t="s">
        <v>242</v>
      </c>
      <c r="C159" t="s">
        <v>355</v>
      </c>
      <c r="D159">
        <v>212</v>
      </c>
      <c r="E159" s="3">
        <v>951.15</v>
      </c>
      <c r="F159">
        <f t="shared" si="2"/>
        <v>158</v>
      </c>
    </row>
    <row r="160" spans="1:6" x14ac:dyDescent="0.25">
      <c r="A160">
        <v>1</v>
      </c>
      <c r="B160" t="s">
        <v>242</v>
      </c>
      <c r="C160" t="s">
        <v>356</v>
      </c>
      <c r="D160">
        <v>216</v>
      </c>
      <c r="E160" s="3">
        <v>951.15</v>
      </c>
      <c r="F160">
        <f t="shared" si="2"/>
        <v>159</v>
      </c>
    </row>
    <row r="161" spans="1:6" x14ac:dyDescent="0.25">
      <c r="A161">
        <v>1</v>
      </c>
      <c r="B161" t="s">
        <v>242</v>
      </c>
      <c r="C161" t="s">
        <v>357</v>
      </c>
      <c r="D161">
        <v>219</v>
      </c>
      <c r="E161" s="3">
        <v>951.15</v>
      </c>
      <c r="F161">
        <f t="shared" si="2"/>
        <v>160</v>
      </c>
    </row>
    <row r="162" spans="1:6" x14ac:dyDescent="0.25">
      <c r="A162">
        <v>1</v>
      </c>
      <c r="B162" t="s">
        <v>242</v>
      </c>
      <c r="C162" t="s">
        <v>358</v>
      </c>
      <c r="D162">
        <v>225</v>
      </c>
      <c r="E162" s="3">
        <v>951.15</v>
      </c>
      <c r="F162">
        <f t="shared" si="2"/>
        <v>161</v>
      </c>
    </row>
    <row r="163" spans="1:6" x14ac:dyDescent="0.25">
      <c r="A163">
        <v>1</v>
      </c>
      <c r="B163" t="s">
        <v>242</v>
      </c>
      <c r="C163" t="s">
        <v>359</v>
      </c>
      <c r="D163">
        <v>231</v>
      </c>
      <c r="E163" s="3">
        <v>951.15</v>
      </c>
      <c r="F163">
        <f t="shared" si="2"/>
        <v>162</v>
      </c>
    </row>
    <row r="164" spans="1:6" x14ac:dyDescent="0.25">
      <c r="A164">
        <v>1</v>
      </c>
      <c r="B164" t="s">
        <v>242</v>
      </c>
      <c r="C164" t="s">
        <v>360</v>
      </c>
      <c r="D164">
        <v>235</v>
      </c>
      <c r="E164" s="3">
        <v>951.15</v>
      </c>
      <c r="F164">
        <f t="shared" si="2"/>
        <v>163</v>
      </c>
    </row>
    <row r="165" spans="1:6" x14ac:dyDescent="0.25">
      <c r="A165">
        <v>1</v>
      </c>
      <c r="B165" t="s">
        <v>242</v>
      </c>
      <c r="C165" t="s">
        <v>361</v>
      </c>
      <c r="D165">
        <v>236</v>
      </c>
      <c r="E165" s="3">
        <v>951.15</v>
      </c>
      <c r="F165">
        <f t="shared" si="2"/>
        <v>164</v>
      </c>
    </row>
    <row r="166" spans="1:6" x14ac:dyDescent="0.25">
      <c r="A166">
        <v>1</v>
      </c>
      <c r="B166" t="s">
        <v>242</v>
      </c>
      <c r="C166" t="s">
        <v>362</v>
      </c>
      <c r="D166">
        <v>238</v>
      </c>
      <c r="E166" s="3">
        <v>951.15</v>
      </c>
      <c r="F166">
        <f t="shared" si="2"/>
        <v>165</v>
      </c>
    </row>
    <row r="167" spans="1:6" x14ac:dyDescent="0.25">
      <c r="A167">
        <v>1</v>
      </c>
      <c r="B167" t="s">
        <v>242</v>
      </c>
      <c r="C167" t="s">
        <v>363</v>
      </c>
      <c r="D167">
        <v>239</v>
      </c>
      <c r="E167" s="3">
        <v>951.15</v>
      </c>
      <c r="F167">
        <f t="shared" si="2"/>
        <v>166</v>
      </c>
    </row>
    <row r="168" spans="1:6" x14ac:dyDescent="0.25">
      <c r="A168">
        <v>1</v>
      </c>
      <c r="B168" t="s">
        <v>242</v>
      </c>
      <c r="C168" t="s">
        <v>364</v>
      </c>
      <c r="D168">
        <v>240</v>
      </c>
      <c r="E168" s="3">
        <v>951.15</v>
      </c>
      <c r="F168">
        <f t="shared" si="2"/>
        <v>167</v>
      </c>
    </row>
    <row r="169" spans="1:6" x14ac:dyDescent="0.25">
      <c r="A169">
        <v>1</v>
      </c>
      <c r="B169" t="s">
        <v>242</v>
      </c>
      <c r="C169" t="s">
        <v>365</v>
      </c>
      <c r="D169">
        <v>244</v>
      </c>
      <c r="E169" s="3">
        <v>951.15</v>
      </c>
      <c r="F169">
        <f t="shared" si="2"/>
        <v>168</v>
      </c>
    </row>
    <row r="170" spans="1:6" x14ac:dyDescent="0.25">
      <c r="A170">
        <v>1</v>
      </c>
      <c r="B170" t="s">
        <v>242</v>
      </c>
      <c r="C170" t="s">
        <v>366</v>
      </c>
      <c r="D170">
        <v>252</v>
      </c>
      <c r="E170" s="3">
        <v>951.15</v>
      </c>
      <c r="F170">
        <f t="shared" si="2"/>
        <v>169</v>
      </c>
    </row>
    <row r="171" spans="1:6" x14ac:dyDescent="0.25">
      <c r="A171">
        <v>1</v>
      </c>
      <c r="B171" t="s">
        <v>242</v>
      </c>
      <c r="C171" t="s">
        <v>367</v>
      </c>
      <c r="D171">
        <v>253</v>
      </c>
      <c r="E171" s="3">
        <v>951.15</v>
      </c>
      <c r="F171">
        <f t="shared" si="2"/>
        <v>170</v>
      </c>
    </row>
    <row r="172" spans="1:6" x14ac:dyDescent="0.25">
      <c r="A172">
        <v>1</v>
      </c>
      <c r="B172" t="s">
        <v>242</v>
      </c>
      <c r="C172" t="s">
        <v>368</v>
      </c>
      <c r="D172">
        <v>258</v>
      </c>
      <c r="E172" s="3">
        <v>951.15</v>
      </c>
      <c r="F172">
        <f t="shared" si="2"/>
        <v>171</v>
      </c>
    </row>
    <row r="173" spans="1:6" x14ac:dyDescent="0.25">
      <c r="A173">
        <v>1</v>
      </c>
      <c r="B173" t="s">
        <v>242</v>
      </c>
      <c r="C173" t="s">
        <v>369</v>
      </c>
      <c r="D173">
        <v>265</v>
      </c>
      <c r="E173" s="3">
        <v>951.15</v>
      </c>
      <c r="F173">
        <f t="shared" si="2"/>
        <v>172</v>
      </c>
    </row>
    <row r="174" spans="1:6" x14ac:dyDescent="0.25">
      <c r="A174">
        <v>1</v>
      </c>
      <c r="B174" t="s">
        <v>242</v>
      </c>
      <c r="C174" t="s">
        <v>370</v>
      </c>
      <c r="D174">
        <v>266</v>
      </c>
      <c r="E174" s="3">
        <v>951.15</v>
      </c>
      <c r="F174">
        <f t="shared" si="2"/>
        <v>173</v>
      </c>
    </row>
    <row r="175" spans="1:6" x14ac:dyDescent="0.25">
      <c r="A175">
        <v>1</v>
      </c>
      <c r="B175" t="s">
        <v>242</v>
      </c>
      <c r="C175" t="s">
        <v>371</v>
      </c>
      <c r="D175">
        <v>268</v>
      </c>
      <c r="E175" s="3">
        <v>951.15</v>
      </c>
      <c r="F175">
        <f t="shared" si="2"/>
        <v>174</v>
      </c>
    </row>
    <row r="176" spans="1:6" x14ac:dyDescent="0.25">
      <c r="A176">
        <v>1</v>
      </c>
      <c r="B176" t="s">
        <v>242</v>
      </c>
      <c r="C176" t="s">
        <v>372</v>
      </c>
      <c r="D176">
        <v>270</v>
      </c>
      <c r="E176" s="3">
        <v>951.15</v>
      </c>
      <c r="F176">
        <f t="shared" si="2"/>
        <v>175</v>
      </c>
    </row>
    <row r="177" spans="1:6" x14ac:dyDescent="0.25">
      <c r="A177">
        <v>1</v>
      </c>
      <c r="B177" t="s">
        <v>242</v>
      </c>
      <c r="C177" t="s">
        <v>373</v>
      </c>
      <c r="D177">
        <v>274</v>
      </c>
      <c r="E177" s="3">
        <v>951.15</v>
      </c>
      <c r="F177">
        <f t="shared" si="2"/>
        <v>176</v>
      </c>
    </row>
    <row r="178" spans="1:6" x14ac:dyDescent="0.25">
      <c r="A178">
        <v>1</v>
      </c>
      <c r="B178" t="s">
        <v>242</v>
      </c>
      <c r="C178" t="s">
        <v>374</v>
      </c>
      <c r="D178">
        <v>278</v>
      </c>
      <c r="E178" s="3">
        <v>951.15</v>
      </c>
      <c r="F178">
        <f t="shared" si="2"/>
        <v>177</v>
      </c>
    </row>
    <row r="179" spans="1:6" x14ac:dyDescent="0.25">
      <c r="A179">
        <v>1</v>
      </c>
      <c r="B179" t="s">
        <v>242</v>
      </c>
      <c r="C179" t="s">
        <v>375</v>
      </c>
      <c r="D179">
        <v>282</v>
      </c>
      <c r="E179" s="3">
        <v>951.15</v>
      </c>
      <c r="F179">
        <f t="shared" si="2"/>
        <v>178</v>
      </c>
    </row>
    <row r="180" spans="1:6" x14ac:dyDescent="0.25">
      <c r="A180">
        <v>1</v>
      </c>
      <c r="B180" t="s">
        <v>242</v>
      </c>
      <c r="C180" t="s">
        <v>376</v>
      </c>
      <c r="D180">
        <v>283</v>
      </c>
      <c r="E180" s="3">
        <v>951.15</v>
      </c>
      <c r="F180">
        <f t="shared" si="2"/>
        <v>179</v>
      </c>
    </row>
    <row r="181" spans="1:6" x14ac:dyDescent="0.25">
      <c r="A181">
        <v>1</v>
      </c>
      <c r="B181" t="s">
        <v>242</v>
      </c>
      <c r="C181" t="s">
        <v>377</v>
      </c>
      <c r="D181">
        <v>286</v>
      </c>
      <c r="E181" s="3">
        <v>951.15</v>
      </c>
      <c r="F181">
        <f t="shared" si="2"/>
        <v>180</v>
      </c>
    </row>
    <row r="182" spans="1:6" x14ac:dyDescent="0.25">
      <c r="A182">
        <v>1</v>
      </c>
      <c r="B182" t="s">
        <v>242</v>
      </c>
      <c r="C182" t="s">
        <v>378</v>
      </c>
      <c r="D182">
        <v>291</v>
      </c>
      <c r="E182" s="3">
        <v>951.15</v>
      </c>
      <c r="F182">
        <f t="shared" si="2"/>
        <v>181</v>
      </c>
    </row>
    <row r="183" spans="1:6" x14ac:dyDescent="0.25">
      <c r="A183">
        <v>1</v>
      </c>
      <c r="B183" t="s">
        <v>242</v>
      </c>
      <c r="C183" t="s">
        <v>379</v>
      </c>
      <c r="D183">
        <v>292</v>
      </c>
      <c r="E183" s="3">
        <v>951.15</v>
      </c>
      <c r="F183">
        <f t="shared" si="2"/>
        <v>182</v>
      </c>
    </row>
    <row r="184" spans="1:6" x14ac:dyDescent="0.25">
      <c r="A184">
        <v>1</v>
      </c>
      <c r="B184" t="s">
        <v>242</v>
      </c>
      <c r="C184" t="s">
        <v>380</v>
      </c>
      <c r="D184">
        <v>293</v>
      </c>
      <c r="E184" s="3">
        <v>951.15</v>
      </c>
      <c r="F184">
        <f t="shared" si="2"/>
        <v>183</v>
      </c>
    </row>
    <row r="185" spans="1:6" x14ac:dyDescent="0.25">
      <c r="A185">
        <v>1</v>
      </c>
      <c r="B185" t="s">
        <v>242</v>
      </c>
      <c r="C185" t="s">
        <v>381</v>
      </c>
      <c r="D185">
        <v>294</v>
      </c>
      <c r="E185" s="3">
        <v>951.15</v>
      </c>
      <c r="F185">
        <f t="shared" si="2"/>
        <v>184</v>
      </c>
    </row>
    <row r="186" spans="1:6" x14ac:dyDescent="0.25">
      <c r="A186">
        <v>1</v>
      </c>
      <c r="B186" t="s">
        <v>242</v>
      </c>
      <c r="C186" t="s">
        <v>382</v>
      </c>
      <c r="D186">
        <v>305</v>
      </c>
      <c r="E186" s="3">
        <v>951.15</v>
      </c>
      <c r="F186">
        <f t="shared" si="2"/>
        <v>185</v>
      </c>
    </row>
    <row r="187" spans="1:6" x14ac:dyDescent="0.25">
      <c r="A187">
        <v>1</v>
      </c>
      <c r="B187" t="s">
        <v>242</v>
      </c>
      <c r="C187" t="s">
        <v>383</v>
      </c>
      <c r="D187">
        <v>306</v>
      </c>
      <c r="E187" s="3">
        <v>951.15</v>
      </c>
      <c r="F187">
        <f t="shared" si="2"/>
        <v>186</v>
      </c>
    </row>
    <row r="188" spans="1:6" x14ac:dyDescent="0.25">
      <c r="A188">
        <v>1</v>
      </c>
      <c r="B188" t="s">
        <v>242</v>
      </c>
      <c r="C188" t="s">
        <v>384</v>
      </c>
      <c r="D188">
        <v>307</v>
      </c>
      <c r="E188" s="3">
        <v>951.15</v>
      </c>
      <c r="F188">
        <f t="shared" si="2"/>
        <v>187</v>
      </c>
    </row>
    <row r="189" spans="1:6" x14ac:dyDescent="0.25">
      <c r="A189">
        <v>1</v>
      </c>
      <c r="B189" t="s">
        <v>242</v>
      </c>
      <c r="C189" t="s">
        <v>385</v>
      </c>
      <c r="D189">
        <v>308</v>
      </c>
      <c r="E189" s="3">
        <v>951.15</v>
      </c>
      <c r="F189">
        <f t="shared" si="2"/>
        <v>188</v>
      </c>
    </row>
    <row r="190" spans="1:6" x14ac:dyDescent="0.25">
      <c r="A190">
        <v>1</v>
      </c>
      <c r="B190" t="s">
        <v>242</v>
      </c>
      <c r="C190" t="s">
        <v>386</v>
      </c>
      <c r="D190">
        <v>310</v>
      </c>
      <c r="E190" s="3">
        <v>951.15</v>
      </c>
      <c r="F190">
        <f t="shared" si="2"/>
        <v>189</v>
      </c>
    </row>
    <row r="191" spans="1:6" x14ac:dyDescent="0.25">
      <c r="A191">
        <v>1</v>
      </c>
      <c r="B191" t="s">
        <v>242</v>
      </c>
      <c r="C191" t="s">
        <v>387</v>
      </c>
      <c r="D191">
        <v>311</v>
      </c>
      <c r="E191" s="3">
        <v>951.15</v>
      </c>
      <c r="F191">
        <f t="shared" si="2"/>
        <v>190</v>
      </c>
    </row>
    <row r="192" spans="1:6" x14ac:dyDescent="0.25">
      <c r="A192">
        <v>1</v>
      </c>
      <c r="B192" t="s">
        <v>242</v>
      </c>
      <c r="C192" t="s">
        <v>388</v>
      </c>
      <c r="D192">
        <v>318</v>
      </c>
      <c r="E192" s="3">
        <v>951.15</v>
      </c>
      <c r="F192">
        <f t="shared" si="2"/>
        <v>191</v>
      </c>
    </row>
    <row r="193" spans="1:6" x14ac:dyDescent="0.25">
      <c r="A193">
        <v>1</v>
      </c>
      <c r="B193" t="s">
        <v>242</v>
      </c>
      <c r="C193" t="s">
        <v>389</v>
      </c>
      <c r="D193">
        <v>323</v>
      </c>
      <c r="E193" s="3">
        <v>951.15</v>
      </c>
      <c r="F193">
        <f t="shared" si="2"/>
        <v>192</v>
      </c>
    </row>
    <row r="194" spans="1:6" x14ac:dyDescent="0.25">
      <c r="A194">
        <v>1</v>
      </c>
      <c r="B194" t="s">
        <v>242</v>
      </c>
      <c r="C194" t="s">
        <v>390</v>
      </c>
      <c r="D194">
        <v>325</v>
      </c>
      <c r="E194" s="3">
        <v>951.15</v>
      </c>
      <c r="F194">
        <f t="shared" si="2"/>
        <v>193</v>
      </c>
    </row>
    <row r="195" spans="1:6" x14ac:dyDescent="0.25">
      <c r="A195">
        <v>1</v>
      </c>
      <c r="B195" t="s">
        <v>242</v>
      </c>
      <c r="C195" t="s">
        <v>391</v>
      </c>
      <c r="D195">
        <v>331</v>
      </c>
      <c r="E195" s="3">
        <v>951.15</v>
      </c>
      <c r="F195">
        <f t="shared" si="2"/>
        <v>194</v>
      </c>
    </row>
    <row r="196" spans="1:6" x14ac:dyDescent="0.25">
      <c r="A196">
        <v>1</v>
      </c>
      <c r="B196" t="s">
        <v>242</v>
      </c>
      <c r="C196" t="s">
        <v>392</v>
      </c>
      <c r="D196">
        <v>334</v>
      </c>
      <c r="E196" s="3">
        <v>951.15</v>
      </c>
      <c r="F196">
        <f t="shared" ref="F196:F259" si="3">F195+1</f>
        <v>195</v>
      </c>
    </row>
    <row r="197" spans="1:6" x14ac:dyDescent="0.25">
      <c r="A197">
        <v>1</v>
      </c>
      <c r="B197" t="s">
        <v>242</v>
      </c>
      <c r="C197" t="s">
        <v>393</v>
      </c>
      <c r="D197">
        <v>345</v>
      </c>
      <c r="E197" s="3">
        <v>951.15</v>
      </c>
      <c r="F197">
        <f t="shared" si="3"/>
        <v>196</v>
      </c>
    </row>
    <row r="198" spans="1:6" x14ac:dyDescent="0.25">
      <c r="A198">
        <v>1</v>
      </c>
      <c r="B198" t="s">
        <v>242</v>
      </c>
      <c r="C198" t="s">
        <v>394</v>
      </c>
      <c r="D198">
        <v>346</v>
      </c>
      <c r="E198" s="3">
        <v>951.15</v>
      </c>
      <c r="F198">
        <f t="shared" si="3"/>
        <v>197</v>
      </c>
    </row>
    <row r="199" spans="1:6" x14ac:dyDescent="0.25">
      <c r="A199">
        <v>1</v>
      </c>
      <c r="B199" t="s">
        <v>242</v>
      </c>
      <c r="C199" t="s">
        <v>395</v>
      </c>
      <c r="D199">
        <v>347</v>
      </c>
      <c r="E199" s="3">
        <v>951.15</v>
      </c>
      <c r="F199">
        <f t="shared" si="3"/>
        <v>198</v>
      </c>
    </row>
    <row r="200" spans="1:6" x14ac:dyDescent="0.25">
      <c r="A200">
        <v>1</v>
      </c>
      <c r="B200" t="s">
        <v>242</v>
      </c>
      <c r="C200" t="s">
        <v>396</v>
      </c>
      <c r="D200">
        <v>360</v>
      </c>
      <c r="E200" s="3">
        <v>951.15</v>
      </c>
      <c r="F200">
        <f t="shared" si="3"/>
        <v>199</v>
      </c>
    </row>
    <row r="201" spans="1:6" x14ac:dyDescent="0.25">
      <c r="A201">
        <v>1</v>
      </c>
      <c r="B201" t="s">
        <v>242</v>
      </c>
      <c r="C201" t="s">
        <v>397</v>
      </c>
      <c r="D201">
        <v>362</v>
      </c>
      <c r="E201" s="3">
        <v>951.15</v>
      </c>
      <c r="F201">
        <f t="shared" si="3"/>
        <v>200</v>
      </c>
    </row>
    <row r="202" spans="1:6" x14ac:dyDescent="0.25">
      <c r="A202">
        <v>1</v>
      </c>
      <c r="B202" t="s">
        <v>242</v>
      </c>
      <c r="C202" t="s">
        <v>398</v>
      </c>
      <c r="D202">
        <v>373</v>
      </c>
      <c r="E202" s="3">
        <v>951.15</v>
      </c>
      <c r="F202">
        <f t="shared" si="3"/>
        <v>201</v>
      </c>
    </row>
    <row r="203" spans="1:6" x14ac:dyDescent="0.25">
      <c r="A203">
        <v>1</v>
      </c>
      <c r="B203" t="s">
        <v>242</v>
      </c>
      <c r="C203" t="s">
        <v>399</v>
      </c>
      <c r="D203">
        <v>387</v>
      </c>
      <c r="E203" s="3">
        <v>951.15</v>
      </c>
      <c r="F203">
        <f t="shared" si="3"/>
        <v>202</v>
      </c>
    </row>
    <row r="204" spans="1:6" x14ac:dyDescent="0.25">
      <c r="A204">
        <v>1</v>
      </c>
      <c r="B204" t="s">
        <v>242</v>
      </c>
      <c r="C204" t="s">
        <v>400</v>
      </c>
      <c r="D204">
        <v>396</v>
      </c>
      <c r="E204" s="3">
        <v>951.15</v>
      </c>
      <c r="F204">
        <f t="shared" si="3"/>
        <v>203</v>
      </c>
    </row>
    <row r="205" spans="1:6" x14ac:dyDescent="0.25">
      <c r="A205">
        <v>1</v>
      </c>
      <c r="B205" t="s">
        <v>242</v>
      </c>
      <c r="C205" t="s">
        <v>401</v>
      </c>
      <c r="D205">
        <v>409</v>
      </c>
      <c r="E205" s="3">
        <v>951.15</v>
      </c>
      <c r="F205">
        <f t="shared" si="3"/>
        <v>204</v>
      </c>
    </row>
    <row r="206" spans="1:6" x14ac:dyDescent="0.25">
      <c r="A206">
        <v>1</v>
      </c>
      <c r="B206" t="s">
        <v>242</v>
      </c>
      <c r="C206" t="s">
        <v>402</v>
      </c>
      <c r="D206">
        <v>416</v>
      </c>
      <c r="E206" s="3">
        <v>951.15</v>
      </c>
      <c r="F206">
        <f t="shared" si="3"/>
        <v>205</v>
      </c>
    </row>
    <row r="207" spans="1:6" x14ac:dyDescent="0.25">
      <c r="A207">
        <v>1</v>
      </c>
      <c r="B207" t="s">
        <v>242</v>
      </c>
      <c r="C207" t="s">
        <v>403</v>
      </c>
      <c r="D207">
        <v>421</v>
      </c>
      <c r="E207" s="3">
        <v>951.15</v>
      </c>
      <c r="F207">
        <f t="shared" si="3"/>
        <v>206</v>
      </c>
    </row>
    <row r="208" spans="1:6" x14ac:dyDescent="0.25">
      <c r="A208">
        <v>1</v>
      </c>
      <c r="B208" t="s">
        <v>242</v>
      </c>
      <c r="C208" t="s">
        <v>404</v>
      </c>
      <c r="D208">
        <v>422</v>
      </c>
      <c r="E208" s="3">
        <v>951.15</v>
      </c>
      <c r="F208">
        <f t="shared" si="3"/>
        <v>207</v>
      </c>
    </row>
    <row r="209" spans="1:6" x14ac:dyDescent="0.25">
      <c r="A209">
        <v>1</v>
      </c>
      <c r="B209" t="s">
        <v>242</v>
      </c>
      <c r="C209" t="s">
        <v>405</v>
      </c>
      <c r="D209">
        <v>425</v>
      </c>
      <c r="E209" s="3">
        <v>951.15</v>
      </c>
      <c r="F209">
        <f t="shared" si="3"/>
        <v>208</v>
      </c>
    </row>
    <row r="210" spans="1:6" x14ac:dyDescent="0.25">
      <c r="A210">
        <v>1</v>
      </c>
      <c r="B210" t="s">
        <v>242</v>
      </c>
      <c r="C210" t="s">
        <v>406</v>
      </c>
      <c r="D210">
        <v>426</v>
      </c>
      <c r="E210" s="3">
        <v>951.15</v>
      </c>
      <c r="F210">
        <f t="shared" si="3"/>
        <v>209</v>
      </c>
    </row>
    <row r="211" spans="1:6" x14ac:dyDescent="0.25">
      <c r="A211">
        <v>1</v>
      </c>
      <c r="B211" t="s">
        <v>242</v>
      </c>
      <c r="C211" t="s">
        <v>407</v>
      </c>
      <c r="D211">
        <v>427</v>
      </c>
      <c r="E211" s="3">
        <v>951.15</v>
      </c>
      <c r="F211">
        <f t="shared" si="3"/>
        <v>210</v>
      </c>
    </row>
    <row r="212" spans="1:6" x14ac:dyDescent="0.25">
      <c r="A212">
        <v>1</v>
      </c>
      <c r="B212" t="s">
        <v>242</v>
      </c>
      <c r="C212" t="s">
        <v>408</v>
      </c>
      <c r="D212">
        <v>428</v>
      </c>
      <c r="E212" s="3">
        <v>951.15</v>
      </c>
      <c r="F212">
        <f t="shared" si="3"/>
        <v>211</v>
      </c>
    </row>
    <row r="213" spans="1:6" x14ac:dyDescent="0.25">
      <c r="A213">
        <v>1</v>
      </c>
      <c r="B213" t="s">
        <v>242</v>
      </c>
      <c r="C213" t="s">
        <v>409</v>
      </c>
      <c r="D213">
        <v>438</v>
      </c>
      <c r="E213" s="3">
        <v>951.15</v>
      </c>
      <c r="F213">
        <f t="shared" si="3"/>
        <v>212</v>
      </c>
    </row>
    <row r="214" spans="1:6" x14ac:dyDescent="0.25">
      <c r="A214">
        <v>1</v>
      </c>
      <c r="B214" t="s">
        <v>242</v>
      </c>
      <c r="C214" t="s">
        <v>410</v>
      </c>
      <c r="D214">
        <v>444</v>
      </c>
      <c r="E214" s="3">
        <v>951.15</v>
      </c>
      <c r="F214">
        <f t="shared" si="3"/>
        <v>213</v>
      </c>
    </row>
    <row r="215" spans="1:6" x14ac:dyDescent="0.25">
      <c r="A215">
        <v>1</v>
      </c>
      <c r="B215" t="s">
        <v>242</v>
      </c>
      <c r="C215" t="s">
        <v>411</v>
      </c>
      <c r="D215">
        <v>450</v>
      </c>
      <c r="E215" s="3">
        <v>951.15</v>
      </c>
      <c r="F215">
        <f t="shared" si="3"/>
        <v>214</v>
      </c>
    </row>
    <row r="216" spans="1:6" x14ac:dyDescent="0.25">
      <c r="A216">
        <v>1</v>
      </c>
      <c r="B216" t="s">
        <v>242</v>
      </c>
      <c r="C216" t="s">
        <v>412</v>
      </c>
      <c r="D216">
        <v>458</v>
      </c>
      <c r="E216" s="3">
        <v>951.15</v>
      </c>
      <c r="F216">
        <f t="shared" si="3"/>
        <v>215</v>
      </c>
    </row>
    <row r="217" spans="1:6" x14ac:dyDescent="0.25">
      <c r="A217">
        <v>1</v>
      </c>
      <c r="B217" t="s">
        <v>242</v>
      </c>
      <c r="C217" t="s">
        <v>413</v>
      </c>
      <c r="D217">
        <v>465</v>
      </c>
      <c r="E217" s="3">
        <v>951.15</v>
      </c>
      <c r="F217">
        <f t="shared" si="3"/>
        <v>216</v>
      </c>
    </row>
    <row r="218" spans="1:6" x14ac:dyDescent="0.25">
      <c r="A218">
        <v>1</v>
      </c>
      <c r="B218" t="s">
        <v>242</v>
      </c>
      <c r="C218" t="s">
        <v>414</v>
      </c>
      <c r="D218">
        <v>467</v>
      </c>
      <c r="E218" s="3">
        <v>951.15</v>
      </c>
      <c r="F218">
        <f t="shared" si="3"/>
        <v>217</v>
      </c>
    </row>
    <row r="219" spans="1:6" x14ac:dyDescent="0.25">
      <c r="A219">
        <v>1</v>
      </c>
      <c r="B219" t="s">
        <v>242</v>
      </c>
      <c r="C219" t="s">
        <v>415</v>
      </c>
      <c r="D219">
        <v>468</v>
      </c>
      <c r="E219" s="3">
        <v>951.15</v>
      </c>
      <c r="F219">
        <f t="shared" si="3"/>
        <v>218</v>
      </c>
    </row>
    <row r="220" spans="1:6" x14ac:dyDescent="0.25">
      <c r="A220">
        <v>1</v>
      </c>
      <c r="B220" t="s">
        <v>242</v>
      </c>
      <c r="C220" t="s">
        <v>416</v>
      </c>
      <c r="D220">
        <v>471</v>
      </c>
      <c r="E220" s="3">
        <v>951.15</v>
      </c>
      <c r="F220">
        <f t="shared" si="3"/>
        <v>219</v>
      </c>
    </row>
    <row r="221" spans="1:6" x14ac:dyDescent="0.25">
      <c r="A221">
        <v>1</v>
      </c>
      <c r="B221" t="s">
        <v>242</v>
      </c>
      <c r="C221" t="s">
        <v>417</v>
      </c>
      <c r="D221">
        <v>473</v>
      </c>
      <c r="E221" s="3">
        <v>951.15</v>
      </c>
      <c r="F221">
        <f t="shared" si="3"/>
        <v>220</v>
      </c>
    </row>
    <row r="222" spans="1:6" x14ac:dyDescent="0.25">
      <c r="A222">
        <v>1</v>
      </c>
      <c r="B222" t="s">
        <v>242</v>
      </c>
      <c r="C222" t="s">
        <v>418</v>
      </c>
      <c r="D222">
        <v>517</v>
      </c>
      <c r="E222" s="3">
        <v>951.15</v>
      </c>
      <c r="F222">
        <f t="shared" si="3"/>
        <v>221</v>
      </c>
    </row>
    <row r="223" spans="1:6" x14ac:dyDescent="0.25">
      <c r="A223">
        <v>1</v>
      </c>
      <c r="B223" t="s">
        <v>242</v>
      </c>
      <c r="C223" t="s">
        <v>419</v>
      </c>
      <c r="D223">
        <v>518</v>
      </c>
      <c r="E223" s="3">
        <v>951.15</v>
      </c>
      <c r="F223">
        <f t="shared" si="3"/>
        <v>222</v>
      </c>
    </row>
    <row r="224" spans="1:6" x14ac:dyDescent="0.25">
      <c r="A224">
        <v>1</v>
      </c>
      <c r="B224" t="s">
        <v>242</v>
      </c>
      <c r="C224" t="s">
        <v>420</v>
      </c>
      <c r="D224">
        <v>530</v>
      </c>
      <c r="E224" s="3">
        <v>951.15</v>
      </c>
      <c r="F224">
        <f t="shared" si="3"/>
        <v>223</v>
      </c>
    </row>
    <row r="225" spans="1:6" x14ac:dyDescent="0.25">
      <c r="A225">
        <v>1</v>
      </c>
      <c r="B225" t="s">
        <v>242</v>
      </c>
      <c r="C225" t="s">
        <v>421</v>
      </c>
      <c r="D225">
        <v>538</v>
      </c>
      <c r="E225" s="3">
        <v>951.15</v>
      </c>
      <c r="F225">
        <f t="shared" si="3"/>
        <v>224</v>
      </c>
    </row>
    <row r="226" spans="1:6" x14ac:dyDescent="0.25">
      <c r="A226">
        <v>1</v>
      </c>
      <c r="B226" t="s">
        <v>242</v>
      </c>
      <c r="C226" t="s">
        <v>422</v>
      </c>
      <c r="D226">
        <v>541</v>
      </c>
      <c r="E226" s="3">
        <v>951.15</v>
      </c>
      <c r="F226">
        <f t="shared" si="3"/>
        <v>225</v>
      </c>
    </row>
    <row r="227" spans="1:6" x14ac:dyDescent="0.25">
      <c r="A227">
        <v>1</v>
      </c>
      <c r="B227" t="s">
        <v>242</v>
      </c>
      <c r="C227" t="s">
        <v>423</v>
      </c>
      <c r="D227">
        <v>543</v>
      </c>
      <c r="E227" s="3">
        <v>951.15</v>
      </c>
      <c r="F227">
        <f t="shared" si="3"/>
        <v>226</v>
      </c>
    </row>
    <row r="228" spans="1:6" x14ac:dyDescent="0.25">
      <c r="A228">
        <v>1</v>
      </c>
      <c r="B228" t="s">
        <v>242</v>
      </c>
      <c r="C228" t="s">
        <v>424</v>
      </c>
      <c r="D228">
        <v>550</v>
      </c>
      <c r="E228" s="3">
        <v>951.15</v>
      </c>
      <c r="F228">
        <f t="shared" si="3"/>
        <v>227</v>
      </c>
    </row>
    <row r="229" spans="1:6" x14ac:dyDescent="0.25">
      <c r="A229">
        <v>1</v>
      </c>
      <c r="B229" t="s">
        <v>242</v>
      </c>
      <c r="C229" t="s">
        <v>425</v>
      </c>
      <c r="D229">
        <v>551</v>
      </c>
      <c r="E229" s="3">
        <v>951.15</v>
      </c>
      <c r="F229">
        <f t="shared" si="3"/>
        <v>228</v>
      </c>
    </row>
    <row r="230" spans="1:6" x14ac:dyDescent="0.25">
      <c r="A230">
        <v>1</v>
      </c>
      <c r="B230" t="s">
        <v>242</v>
      </c>
      <c r="C230" t="s">
        <v>426</v>
      </c>
      <c r="D230">
        <v>552</v>
      </c>
      <c r="E230" s="3">
        <v>951.15</v>
      </c>
      <c r="F230">
        <f t="shared" si="3"/>
        <v>229</v>
      </c>
    </row>
    <row r="231" spans="1:6" x14ac:dyDescent="0.25">
      <c r="A231">
        <v>1</v>
      </c>
      <c r="B231" t="s">
        <v>242</v>
      </c>
      <c r="C231" t="s">
        <v>427</v>
      </c>
      <c r="D231">
        <v>562</v>
      </c>
      <c r="E231" s="3">
        <v>951.15</v>
      </c>
      <c r="F231">
        <f t="shared" si="3"/>
        <v>230</v>
      </c>
    </row>
    <row r="232" spans="1:6" x14ac:dyDescent="0.25">
      <c r="A232">
        <v>1</v>
      </c>
      <c r="B232" t="s">
        <v>242</v>
      </c>
      <c r="C232" t="s">
        <v>428</v>
      </c>
      <c r="D232">
        <v>576</v>
      </c>
      <c r="E232" s="3">
        <v>951.15</v>
      </c>
      <c r="F232">
        <f t="shared" si="3"/>
        <v>231</v>
      </c>
    </row>
    <row r="233" spans="1:6" x14ac:dyDescent="0.25">
      <c r="A233">
        <v>1</v>
      </c>
      <c r="B233" t="s">
        <v>242</v>
      </c>
      <c r="C233" t="s">
        <v>429</v>
      </c>
      <c r="D233">
        <v>578</v>
      </c>
      <c r="E233" s="3">
        <v>951.15</v>
      </c>
      <c r="F233">
        <f t="shared" si="3"/>
        <v>232</v>
      </c>
    </row>
    <row r="234" spans="1:6" x14ac:dyDescent="0.25">
      <c r="A234">
        <v>1</v>
      </c>
      <c r="B234" t="s">
        <v>242</v>
      </c>
      <c r="C234" t="s">
        <v>430</v>
      </c>
      <c r="D234">
        <v>580</v>
      </c>
      <c r="E234" s="3">
        <v>951.15</v>
      </c>
      <c r="F234">
        <f t="shared" si="3"/>
        <v>233</v>
      </c>
    </row>
    <row r="235" spans="1:6" x14ac:dyDescent="0.25">
      <c r="A235">
        <v>1</v>
      </c>
      <c r="B235" t="s">
        <v>242</v>
      </c>
      <c r="C235" t="s">
        <v>431</v>
      </c>
      <c r="D235">
        <v>595</v>
      </c>
      <c r="E235" s="3">
        <v>951.15</v>
      </c>
      <c r="F235">
        <f t="shared" si="3"/>
        <v>234</v>
      </c>
    </row>
    <row r="236" spans="1:6" x14ac:dyDescent="0.25">
      <c r="A236">
        <v>1</v>
      </c>
      <c r="B236" t="s">
        <v>242</v>
      </c>
      <c r="C236" t="s">
        <v>432</v>
      </c>
      <c r="D236">
        <v>603</v>
      </c>
      <c r="E236" s="3">
        <v>951.15</v>
      </c>
      <c r="F236">
        <f t="shared" si="3"/>
        <v>235</v>
      </c>
    </row>
    <row r="237" spans="1:6" x14ac:dyDescent="0.25">
      <c r="A237">
        <v>1</v>
      </c>
      <c r="B237" t="s">
        <v>242</v>
      </c>
      <c r="C237" t="s">
        <v>433</v>
      </c>
      <c r="D237">
        <v>611</v>
      </c>
      <c r="E237" s="3">
        <v>951.15</v>
      </c>
      <c r="F237">
        <f t="shared" si="3"/>
        <v>236</v>
      </c>
    </row>
    <row r="238" spans="1:6" x14ac:dyDescent="0.25">
      <c r="A238">
        <v>1</v>
      </c>
      <c r="B238" t="s">
        <v>242</v>
      </c>
      <c r="C238" t="s">
        <v>434</v>
      </c>
      <c r="D238">
        <v>615</v>
      </c>
      <c r="E238" s="3">
        <v>951.15</v>
      </c>
      <c r="F238">
        <f t="shared" si="3"/>
        <v>237</v>
      </c>
    </row>
    <row r="239" spans="1:6" x14ac:dyDescent="0.25">
      <c r="A239">
        <v>1</v>
      </c>
      <c r="B239" t="s">
        <v>242</v>
      </c>
      <c r="C239" t="s">
        <v>435</v>
      </c>
      <c r="D239">
        <v>617</v>
      </c>
      <c r="E239" s="3">
        <v>951.15</v>
      </c>
      <c r="F239">
        <f t="shared" si="3"/>
        <v>238</v>
      </c>
    </row>
    <row r="240" spans="1:6" x14ac:dyDescent="0.25">
      <c r="A240">
        <v>1</v>
      </c>
      <c r="B240" t="s">
        <v>242</v>
      </c>
      <c r="C240" t="s">
        <v>436</v>
      </c>
      <c r="D240">
        <v>618</v>
      </c>
      <c r="E240" s="3">
        <v>951.15</v>
      </c>
      <c r="F240">
        <f t="shared" si="3"/>
        <v>239</v>
      </c>
    </row>
    <row r="241" spans="1:6" x14ac:dyDescent="0.25">
      <c r="A241">
        <v>1</v>
      </c>
      <c r="B241" t="s">
        <v>242</v>
      </c>
      <c r="C241" t="s">
        <v>437</v>
      </c>
      <c r="D241">
        <v>619</v>
      </c>
      <c r="E241" s="3">
        <v>951.15</v>
      </c>
      <c r="F241">
        <f t="shared" si="3"/>
        <v>240</v>
      </c>
    </row>
    <row r="242" spans="1:6" x14ac:dyDescent="0.25">
      <c r="A242">
        <v>1</v>
      </c>
      <c r="B242" t="s">
        <v>242</v>
      </c>
      <c r="C242" t="s">
        <v>438</v>
      </c>
      <c r="D242">
        <v>632</v>
      </c>
      <c r="E242" s="3">
        <v>951.15</v>
      </c>
      <c r="F242">
        <f t="shared" si="3"/>
        <v>241</v>
      </c>
    </row>
    <row r="243" spans="1:6" x14ac:dyDescent="0.25">
      <c r="A243">
        <v>1</v>
      </c>
      <c r="B243" t="s">
        <v>242</v>
      </c>
      <c r="C243" t="s">
        <v>439</v>
      </c>
      <c r="D243">
        <v>633</v>
      </c>
      <c r="E243" s="3">
        <v>951.15</v>
      </c>
      <c r="F243">
        <f t="shared" si="3"/>
        <v>242</v>
      </c>
    </row>
    <row r="244" spans="1:6" x14ac:dyDescent="0.25">
      <c r="A244">
        <v>1</v>
      </c>
      <c r="B244" t="s">
        <v>242</v>
      </c>
      <c r="C244" t="s">
        <v>440</v>
      </c>
      <c r="D244">
        <v>642</v>
      </c>
      <c r="E244" s="3">
        <v>951.15</v>
      </c>
      <c r="F244">
        <f t="shared" si="3"/>
        <v>243</v>
      </c>
    </row>
    <row r="245" spans="1:6" x14ac:dyDescent="0.25">
      <c r="A245">
        <v>1</v>
      </c>
      <c r="B245" t="s">
        <v>242</v>
      </c>
      <c r="C245" t="s">
        <v>441</v>
      </c>
      <c r="D245">
        <v>644</v>
      </c>
      <c r="E245" s="3">
        <v>951.15</v>
      </c>
      <c r="F245">
        <f t="shared" si="3"/>
        <v>244</v>
      </c>
    </row>
    <row r="246" spans="1:6" x14ac:dyDescent="0.25">
      <c r="A246">
        <v>1</v>
      </c>
      <c r="B246" t="s">
        <v>242</v>
      </c>
      <c r="C246" t="s">
        <v>442</v>
      </c>
      <c r="D246">
        <v>645</v>
      </c>
      <c r="E246" s="3">
        <v>951.15</v>
      </c>
      <c r="F246">
        <f t="shared" si="3"/>
        <v>245</v>
      </c>
    </row>
    <row r="247" spans="1:6" x14ac:dyDescent="0.25">
      <c r="A247">
        <v>1</v>
      </c>
      <c r="B247" t="s">
        <v>242</v>
      </c>
      <c r="C247" t="s">
        <v>443</v>
      </c>
      <c r="D247">
        <v>646</v>
      </c>
      <c r="E247" s="3">
        <v>951.15</v>
      </c>
      <c r="F247">
        <f t="shared" si="3"/>
        <v>246</v>
      </c>
    </row>
    <row r="248" spans="1:6" x14ac:dyDescent="0.25">
      <c r="A248">
        <v>1</v>
      </c>
      <c r="B248" t="s">
        <v>242</v>
      </c>
      <c r="C248" t="s">
        <v>444</v>
      </c>
      <c r="D248">
        <v>651</v>
      </c>
      <c r="E248" s="3">
        <v>951.15</v>
      </c>
      <c r="F248">
        <f t="shared" si="3"/>
        <v>247</v>
      </c>
    </row>
    <row r="249" spans="1:6" x14ac:dyDescent="0.25">
      <c r="A249">
        <v>1</v>
      </c>
      <c r="B249" t="s">
        <v>242</v>
      </c>
      <c r="C249" t="s">
        <v>445</v>
      </c>
      <c r="D249">
        <v>656</v>
      </c>
      <c r="E249" s="3">
        <v>951.15</v>
      </c>
      <c r="F249">
        <f t="shared" si="3"/>
        <v>248</v>
      </c>
    </row>
    <row r="250" spans="1:6" x14ac:dyDescent="0.25">
      <c r="A250">
        <v>1</v>
      </c>
      <c r="B250" t="s">
        <v>242</v>
      </c>
      <c r="C250" t="s">
        <v>446</v>
      </c>
      <c r="D250">
        <v>657</v>
      </c>
      <c r="E250" s="3">
        <v>951.15</v>
      </c>
      <c r="F250">
        <f t="shared" si="3"/>
        <v>249</v>
      </c>
    </row>
    <row r="251" spans="1:6" x14ac:dyDescent="0.25">
      <c r="A251">
        <v>1</v>
      </c>
      <c r="B251" t="s">
        <v>242</v>
      </c>
      <c r="C251" t="s">
        <v>447</v>
      </c>
      <c r="D251">
        <v>658</v>
      </c>
      <c r="E251" s="3">
        <v>951.15</v>
      </c>
      <c r="F251">
        <f t="shared" si="3"/>
        <v>250</v>
      </c>
    </row>
    <row r="252" spans="1:6" x14ac:dyDescent="0.25">
      <c r="A252">
        <v>1</v>
      </c>
      <c r="B252" t="s">
        <v>242</v>
      </c>
      <c r="C252" t="s">
        <v>448</v>
      </c>
      <c r="D252">
        <v>670</v>
      </c>
      <c r="E252" s="3">
        <v>951.15</v>
      </c>
      <c r="F252">
        <f t="shared" si="3"/>
        <v>251</v>
      </c>
    </row>
    <row r="253" spans="1:6" x14ac:dyDescent="0.25">
      <c r="A253">
        <v>1</v>
      </c>
      <c r="B253" t="s">
        <v>242</v>
      </c>
      <c r="C253" t="s">
        <v>449</v>
      </c>
      <c r="D253">
        <v>672</v>
      </c>
      <c r="E253" s="3">
        <v>951.15</v>
      </c>
      <c r="F253">
        <f t="shared" si="3"/>
        <v>252</v>
      </c>
    </row>
    <row r="254" spans="1:6" x14ac:dyDescent="0.25">
      <c r="A254">
        <v>1</v>
      </c>
      <c r="B254" t="s">
        <v>242</v>
      </c>
      <c r="C254" t="s">
        <v>450</v>
      </c>
      <c r="D254">
        <v>677</v>
      </c>
      <c r="E254" s="3">
        <v>951.15</v>
      </c>
      <c r="F254">
        <f t="shared" si="3"/>
        <v>253</v>
      </c>
    </row>
    <row r="255" spans="1:6" x14ac:dyDescent="0.25">
      <c r="A255">
        <v>1</v>
      </c>
      <c r="B255" t="s">
        <v>242</v>
      </c>
      <c r="C255" t="s">
        <v>451</v>
      </c>
      <c r="D255">
        <v>681</v>
      </c>
      <c r="E255" s="3">
        <v>951.15</v>
      </c>
      <c r="F255">
        <f t="shared" si="3"/>
        <v>254</v>
      </c>
    </row>
    <row r="256" spans="1:6" x14ac:dyDescent="0.25">
      <c r="A256">
        <v>1</v>
      </c>
      <c r="B256" t="s">
        <v>242</v>
      </c>
      <c r="C256" t="s">
        <v>452</v>
      </c>
      <c r="D256">
        <v>683</v>
      </c>
      <c r="E256" s="3">
        <v>951.15</v>
      </c>
      <c r="F256">
        <f t="shared" si="3"/>
        <v>255</v>
      </c>
    </row>
    <row r="257" spans="1:6" x14ac:dyDescent="0.25">
      <c r="A257">
        <v>1</v>
      </c>
      <c r="B257" t="s">
        <v>242</v>
      </c>
      <c r="C257" t="s">
        <v>453</v>
      </c>
      <c r="D257">
        <v>686</v>
      </c>
      <c r="E257" s="3">
        <v>951.15</v>
      </c>
      <c r="F257">
        <f t="shared" si="3"/>
        <v>256</v>
      </c>
    </row>
    <row r="258" spans="1:6" x14ac:dyDescent="0.25">
      <c r="A258">
        <v>1</v>
      </c>
      <c r="B258" t="s">
        <v>242</v>
      </c>
      <c r="C258" t="s">
        <v>454</v>
      </c>
      <c r="D258">
        <v>689</v>
      </c>
      <c r="E258" s="3">
        <v>951.15</v>
      </c>
      <c r="F258">
        <f t="shared" si="3"/>
        <v>257</v>
      </c>
    </row>
    <row r="259" spans="1:6" x14ac:dyDescent="0.25">
      <c r="A259">
        <v>1</v>
      </c>
      <c r="B259" t="s">
        <v>242</v>
      </c>
      <c r="C259" t="s">
        <v>455</v>
      </c>
      <c r="D259">
        <v>695</v>
      </c>
      <c r="E259" s="3">
        <v>951.15</v>
      </c>
      <c r="F259">
        <f t="shared" si="3"/>
        <v>258</v>
      </c>
    </row>
    <row r="260" spans="1:6" x14ac:dyDescent="0.25">
      <c r="A260">
        <v>1</v>
      </c>
      <c r="B260" t="s">
        <v>242</v>
      </c>
      <c r="C260" t="s">
        <v>456</v>
      </c>
      <c r="D260">
        <v>697</v>
      </c>
      <c r="E260" s="3">
        <v>951.15</v>
      </c>
      <c r="F260">
        <f t="shared" ref="F260:F323" si="4">F259+1</f>
        <v>259</v>
      </c>
    </row>
    <row r="261" spans="1:6" x14ac:dyDescent="0.25">
      <c r="A261">
        <v>1</v>
      </c>
      <c r="B261" t="s">
        <v>242</v>
      </c>
      <c r="C261" t="s">
        <v>457</v>
      </c>
      <c r="D261">
        <v>698</v>
      </c>
      <c r="E261" s="3">
        <v>951.15</v>
      </c>
      <c r="F261">
        <f t="shared" si="4"/>
        <v>260</v>
      </c>
    </row>
    <row r="262" spans="1:6" x14ac:dyDescent="0.25">
      <c r="A262">
        <v>1</v>
      </c>
      <c r="B262" t="s">
        <v>242</v>
      </c>
      <c r="C262" t="s">
        <v>458</v>
      </c>
      <c r="D262">
        <v>699</v>
      </c>
      <c r="E262" s="3">
        <v>951.15</v>
      </c>
      <c r="F262">
        <f t="shared" si="4"/>
        <v>261</v>
      </c>
    </row>
    <row r="263" spans="1:6" x14ac:dyDescent="0.25">
      <c r="A263">
        <v>1</v>
      </c>
      <c r="B263" t="s">
        <v>242</v>
      </c>
      <c r="C263" t="s">
        <v>459</v>
      </c>
      <c r="D263">
        <v>711</v>
      </c>
      <c r="E263" s="3">
        <v>951.15</v>
      </c>
      <c r="F263">
        <f t="shared" si="4"/>
        <v>262</v>
      </c>
    </row>
    <row r="264" spans="1:6" x14ac:dyDescent="0.25">
      <c r="A264">
        <v>4</v>
      </c>
      <c r="B264" t="s">
        <v>460</v>
      </c>
      <c r="C264" t="s">
        <v>461</v>
      </c>
      <c r="D264">
        <v>1</v>
      </c>
      <c r="E264" s="3">
        <v>0</v>
      </c>
      <c r="F264">
        <f t="shared" si="4"/>
        <v>263</v>
      </c>
    </row>
    <row r="265" spans="1:6" x14ac:dyDescent="0.25">
      <c r="A265">
        <v>4</v>
      </c>
      <c r="B265" t="s">
        <v>460</v>
      </c>
      <c r="C265" t="s">
        <v>462</v>
      </c>
      <c r="D265">
        <v>3</v>
      </c>
      <c r="E265" s="3">
        <v>0</v>
      </c>
      <c r="F265">
        <f t="shared" si="4"/>
        <v>264</v>
      </c>
    </row>
    <row r="266" spans="1:6" x14ac:dyDescent="0.25">
      <c r="A266">
        <v>4</v>
      </c>
      <c r="B266" t="s">
        <v>460</v>
      </c>
      <c r="C266" t="s">
        <v>463</v>
      </c>
      <c r="D266">
        <v>18</v>
      </c>
      <c r="E266" s="3">
        <v>0</v>
      </c>
      <c r="F266">
        <f t="shared" si="4"/>
        <v>265</v>
      </c>
    </row>
    <row r="267" spans="1:6" x14ac:dyDescent="0.25">
      <c r="A267">
        <v>4</v>
      </c>
      <c r="B267" t="s">
        <v>460</v>
      </c>
      <c r="C267" t="s">
        <v>464</v>
      </c>
      <c r="D267">
        <v>30</v>
      </c>
      <c r="E267" s="3">
        <v>0</v>
      </c>
      <c r="F267">
        <f t="shared" si="4"/>
        <v>266</v>
      </c>
    </row>
    <row r="268" spans="1:6" x14ac:dyDescent="0.25">
      <c r="A268">
        <v>4</v>
      </c>
      <c r="B268" t="s">
        <v>460</v>
      </c>
      <c r="C268" t="s">
        <v>465</v>
      </c>
      <c r="D268">
        <v>31</v>
      </c>
      <c r="E268" s="3">
        <v>0</v>
      </c>
      <c r="F268">
        <f t="shared" si="4"/>
        <v>267</v>
      </c>
    </row>
    <row r="269" spans="1:6" x14ac:dyDescent="0.25">
      <c r="A269">
        <v>4</v>
      </c>
      <c r="B269" t="s">
        <v>460</v>
      </c>
      <c r="C269" t="s">
        <v>466</v>
      </c>
      <c r="D269">
        <v>34</v>
      </c>
      <c r="E269" s="3">
        <v>0</v>
      </c>
      <c r="F269">
        <f t="shared" si="4"/>
        <v>268</v>
      </c>
    </row>
    <row r="270" spans="1:6" x14ac:dyDescent="0.25">
      <c r="A270">
        <v>4</v>
      </c>
      <c r="B270" t="s">
        <v>460</v>
      </c>
      <c r="C270" t="s">
        <v>467</v>
      </c>
      <c r="D270">
        <v>36</v>
      </c>
      <c r="E270" s="3">
        <v>0</v>
      </c>
      <c r="F270">
        <f t="shared" si="4"/>
        <v>269</v>
      </c>
    </row>
    <row r="271" spans="1:6" x14ac:dyDescent="0.25">
      <c r="A271">
        <v>4</v>
      </c>
      <c r="B271" t="s">
        <v>460</v>
      </c>
      <c r="C271" t="s">
        <v>468</v>
      </c>
      <c r="D271">
        <v>38</v>
      </c>
      <c r="E271" s="3">
        <v>0</v>
      </c>
      <c r="F271">
        <f t="shared" si="4"/>
        <v>270</v>
      </c>
    </row>
    <row r="272" spans="1:6" x14ac:dyDescent="0.25">
      <c r="A272">
        <v>4</v>
      </c>
      <c r="B272" t="s">
        <v>460</v>
      </c>
      <c r="C272" t="s">
        <v>469</v>
      </c>
      <c r="D272">
        <v>80</v>
      </c>
      <c r="E272" s="3">
        <v>0</v>
      </c>
      <c r="F272">
        <f t="shared" si="4"/>
        <v>271</v>
      </c>
    </row>
    <row r="273" spans="1:6" x14ac:dyDescent="0.25">
      <c r="A273">
        <v>4</v>
      </c>
      <c r="B273" t="s">
        <v>460</v>
      </c>
      <c r="C273" t="s">
        <v>470</v>
      </c>
      <c r="D273">
        <v>86</v>
      </c>
      <c r="E273" s="3">
        <v>0</v>
      </c>
      <c r="F273">
        <f t="shared" si="4"/>
        <v>272</v>
      </c>
    </row>
    <row r="274" spans="1:6" x14ac:dyDescent="0.25">
      <c r="A274">
        <v>4</v>
      </c>
      <c r="B274" t="s">
        <v>460</v>
      </c>
      <c r="C274" t="s">
        <v>471</v>
      </c>
      <c r="D274">
        <v>87</v>
      </c>
      <c r="E274" s="3">
        <v>0</v>
      </c>
      <c r="F274">
        <f t="shared" si="4"/>
        <v>273</v>
      </c>
    </row>
    <row r="275" spans="1:6" x14ac:dyDescent="0.25">
      <c r="A275">
        <v>4</v>
      </c>
      <c r="B275" t="s">
        <v>460</v>
      </c>
      <c r="C275" t="s">
        <v>472</v>
      </c>
      <c r="D275">
        <v>107</v>
      </c>
      <c r="E275" s="3">
        <v>0</v>
      </c>
      <c r="F275">
        <f t="shared" si="4"/>
        <v>274</v>
      </c>
    </row>
    <row r="276" spans="1:6" x14ac:dyDescent="0.25">
      <c r="A276">
        <v>4</v>
      </c>
      <c r="B276" t="s">
        <v>460</v>
      </c>
      <c r="C276" t="s">
        <v>473</v>
      </c>
      <c r="D276">
        <v>108</v>
      </c>
      <c r="E276" s="3">
        <v>0</v>
      </c>
      <c r="F276">
        <f t="shared" si="4"/>
        <v>275</v>
      </c>
    </row>
    <row r="277" spans="1:6" x14ac:dyDescent="0.25">
      <c r="A277">
        <v>4</v>
      </c>
      <c r="B277" t="s">
        <v>460</v>
      </c>
      <c r="C277" t="s">
        <v>474</v>
      </c>
      <c r="D277">
        <v>127</v>
      </c>
      <c r="E277" s="3">
        <v>0</v>
      </c>
      <c r="F277">
        <f t="shared" si="4"/>
        <v>276</v>
      </c>
    </row>
    <row r="278" spans="1:6" x14ac:dyDescent="0.25">
      <c r="A278">
        <v>4</v>
      </c>
      <c r="B278" t="s">
        <v>460</v>
      </c>
      <c r="C278" t="s">
        <v>475</v>
      </c>
      <c r="D278">
        <v>130</v>
      </c>
      <c r="E278" s="3">
        <v>0</v>
      </c>
      <c r="F278">
        <f t="shared" si="4"/>
        <v>277</v>
      </c>
    </row>
    <row r="279" spans="1:6" x14ac:dyDescent="0.25">
      <c r="A279">
        <v>4</v>
      </c>
      <c r="B279" t="s">
        <v>460</v>
      </c>
      <c r="C279" t="s">
        <v>476</v>
      </c>
      <c r="D279">
        <v>152</v>
      </c>
      <c r="E279" s="3">
        <v>0</v>
      </c>
      <c r="F279">
        <f t="shared" si="4"/>
        <v>278</v>
      </c>
    </row>
    <row r="280" spans="1:6" x14ac:dyDescent="0.25">
      <c r="A280">
        <v>4</v>
      </c>
      <c r="B280" t="s">
        <v>460</v>
      </c>
      <c r="C280" t="s">
        <v>477</v>
      </c>
      <c r="D280">
        <v>154</v>
      </c>
      <c r="E280" s="3">
        <v>0</v>
      </c>
      <c r="F280">
        <f t="shared" si="4"/>
        <v>279</v>
      </c>
    </row>
    <row r="281" spans="1:6" x14ac:dyDescent="0.25">
      <c r="A281">
        <v>4</v>
      </c>
      <c r="B281" t="s">
        <v>460</v>
      </c>
      <c r="C281" t="s">
        <v>478</v>
      </c>
      <c r="D281">
        <v>155</v>
      </c>
      <c r="E281" s="3">
        <v>0</v>
      </c>
      <c r="F281">
        <f t="shared" si="4"/>
        <v>280</v>
      </c>
    </row>
    <row r="282" spans="1:6" x14ac:dyDescent="0.25">
      <c r="A282">
        <v>4</v>
      </c>
      <c r="B282" t="s">
        <v>460</v>
      </c>
      <c r="C282" t="s">
        <v>479</v>
      </c>
      <c r="D282">
        <v>156</v>
      </c>
      <c r="E282" s="3">
        <v>0</v>
      </c>
      <c r="F282">
        <f t="shared" si="4"/>
        <v>281</v>
      </c>
    </row>
    <row r="283" spans="1:6" x14ac:dyDescent="0.25">
      <c r="A283">
        <v>4</v>
      </c>
      <c r="B283" t="s">
        <v>460</v>
      </c>
      <c r="C283" t="s">
        <v>480</v>
      </c>
      <c r="D283">
        <v>162</v>
      </c>
      <c r="E283" s="3">
        <v>0</v>
      </c>
      <c r="F283">
        <f t="shared" si="4"/>
        <v>282</v>
      </c>
    </row>
    <row r="284" spans="1:6" x14ac:dyDescent="0.25">
      <c r="A284">
        <v>4</v>
      </c>
      <c r="B284" t="s">
        <v>460</v>
      </c>
      <c r="C284" t="s">
        <v>481</v>
      </c>
      <c r="D284">
        <v>164</v>
      </c>
      <c r="E284" s="3">
        <v>0</v>
      </c>
      <c r="F284">
        <f t="shared" si="4"/>
        <v>283</v>
      </c>
    </row>
    <row r="285" spans="1:6" x14ac:dyDescent="0.25">
      <c r="A285">
        <v>4</v>
      </c>
      <c r="B285" t="s">
        <v>460</v>
      </c>
      <c r="C285" t="s">
        <v>482</v>
      </c>
      <c r="D285">
        <v>167</v>
      </c>
      <c r="E285" s="3">
        <v>0</v>
      </c>
      <c r="F285">
        <f t="shared" si="4"/>
        <v>284</v>
      </c>
    </row>
    <row r="286" spans="1:6" x14ac:dyDescent="0.25">
      <c r="A286">
        <v>4</v>
      </c>
      <c r="B286" t="s">
        <v>460</v>
      </c>
      <c r="C286" t="s">
        <v>483</v>
      </c>
      <c r="D286">
        <v>168</v>
      </c>
      <c r="E286" s="3">
        <v>0</v>
      </c>
      <c r="F286">
        <f t="shared" si="4"/>
        <v>285</v>
      </c>
    </row>
    <row r="287" spans="1:6" x14ac:dyDescent="0.25">
      <c r="A287">
        <v>4</v>
      </c>
      <c r="B287" t="s">
        <v>460</v>
      </c>
      <c r="C287" t="s">
        <v>484</v>
      </c>
      <c r="D287">
        <v>169</v>
      </c>
      <c r="E287" s="3">
        <v>0</v>
      </c>
      <c r="F287">
        <f t="shared" si="4"/>
        <v>286</v>
      </c>
    </row>
    <row r="288" spans="1:6" x14ac:dyDescent="0.25">
      <c r="A288">
        <v>4</v>
      </c>
      <c r="B288" t="s">
        <v>460</v>
      </c>
      <c r="C288" t="s">
        <v>485</v>
      </c>
      <c r="D288">
        <v>172</v>
      </c>
      <c r="E288" s="3">
        <v>0</v>
      </c>
      <c r="F288">
        <f t="shared" si="4"/>
        <v>287</v>
      </c>
    </row>
    <row r="289" spans="1:6" x14ac:dyDescent="0.25">
      <c r="A289">
        <v>4</v>
      </c>
      <c r="B289" t="s">
        <v>460</v>
      </c>
      <c r="C289" t="s">
        <v>486</v>
      </c>
      <c r="D289">
        <v>173</v>
      </c>
      <c r="E289" s="3">
        <v>0</v>
      </c>
      <c r="F289">
        <f t="shared" si="4"/>
        <v>288</v>
      </c>
    </row>
    <row r="290" spans="1:6" x14ac:dyDescent="0.25">
      <c r="A290">
        <v>4</v>
      </c>
      <c r="B290" t="s">
        <v>460</v>
      </c>
      <c r="C290" t="s">
        <v>487</v>
      </c>
      <c r="D290">
        <v>189</v>
      </c>
      <c r="E290" s="3">
        <v>0</v>
      </c>
      <c r="F290">
        <f t="shared" si="4"/>
        <v>289</v>
      </c>
    </row>
    <row r="291" spans="1:6" x14ac:dyDescent="0.25">
      <c r="A291">
        <v>4</v>
      </c>
      <c r="B291" t="s">
        <v>460</v>
      </c>
      <c r="C291" t="s">
        <v>488</v>
      </c>
      <c r="D291">
        <v>191</v>
      </c>
      <c r="E291" s="3">
        <v>0</v>
      </c>
      <c r="F291">
        <f t="shared" si="4"/>
        <v>290</v>
      </c>
    </row>
    <row r="292" spans="1:6" x14ac:dyDescent="0.25">
      <c r="A292">
        <v>4</v>
      </c>
      <c r="B292" t="s">
        <v>460</v>
      </c>
      <c r="C292" t="s">
        <v>489</v>
      </c>
      <c r="D292">
        <v>196</v>
      </c>
      <c r="E292" s="3">
        <v>0</v>
      </c>
      <c r="F292">
        <f t="shared" si="4"/>
        <v>291</v>
      </c>
    </row>
    <row r="293" spans="1:6" x14ac:dyDescent="0.25">
      <c r="A293">
        <v>4</v>
      </c>
      <c r="B293" t="s">
        <v>460</v>
      </c>
      <c r="C293" t="s">
        <v>490</v>
      </c>
      <c r="D293">
        <v>201</v>
      </c>
      <c r="E293" s="3">
        <v>0</v>
      </c>
      <c r="F293">
        <f t="shared" si="4"/>
        <v>292</v>
      </c>
    </row>
    <row r="294" spans="1:6" x14ac:dyDescent="0.25">
      <c r="A294">
        <v>4</v>
      </c>
      <c r="B294" t="s">
        <v>460</v>
      </c>
      <c r="C294" t="s">
        <v>491</v>
      </c>
      <c r="D294">
        <v>218</v>
      </c>
      <c r="E294" s="3">
        <v>0</v>
      </c>
      <c r="F294">
        <f t="shared" si="4"/>
        <v>293</v>
      </c>
    </row>
    <row r="295" spans="1:6" x14ac:dyDescent="0.25">
      <c r="A295">
        <v>4</v>
      </c>
      <c r="B295" t="s">
        <v>460</v>
      </c>
      <c r="C295" t="s">
        <v>492</v>
      </c>
      <c r="D295">
        <v>222</v>
      </c>
      <c r="E295" s="3">
        <v>0</v>
      </c>
      <c r="F295">
        <f t="shared" si="4"/>
        <v>294</v>
      </c>
    </row>
    <row r="296" spans="1:6" x14ac:dyDescent="0.25">
      <c r="A296">
        <v>4</v>
      </c>
      <c r="B296" t="s">
        <v>460</v>
      </c>
      <c r="C296" t="s">
        <v>493</v>
      </c>
      <c r="D296">
        <v>245</v>
      </c>
      <c r="E296" s="3">
        <v>0</v>
      </c>
      <c r="F296">
        <f t="shared" si="4"/>
        <v>295</v>
      </c>
    </row>
    <row r="297" spans="1:6" x14ac:dyDescent="0.25">
      <c r="A297">
        <v>4</v>
      </c>
      <c r="B297" t="s">
        <v>460</v>
      </c>
      <c r="C297" t="s">
        <v>494</v>
      </c>
      <c r="D297">
        <v>246</v>
      </c>
      <c r="E297" s="3">
        <v>0</v>
      </c>
      <c r="F297">
        <f t="shared" si="4"/>
        <v>296</v>
      </c>
    </row>
    <row r="298" spans="1:6" x14ac:dyDescent="0.25">
      <c r="A298">
        <v>4</v>
      </c>
      <c r="B298" t="s">
        <v>460</v>
      </c>
      <c r="C298" t="s">
        <v>495</v>
      </c>
      <c r="D298">
        <v>254</v>
      </c>
      <c r="E298" s="3">
        <v>0</v>
      </c>
      <c r="F298">
        <f t="shared" si="4"/>
        <v>297</v>
      </c>
    </row>
    <row r="299" spans="1:6" x14ac:dyDescent="0.25">
      <c r="A299">
        <v>4</v>
      </c>
      <c r="B299" t="s">
        <v>460</v>
      </c>
      <c r="C299" t="s">
        <v>496</v>
      </c>
      <c r="D299">
        <v>279</v>
      </c>
      <c r="E299" s="3">
        <v>0</v>
      </c>
      <c r="F299">
        <f t="shared" si="4"/>
        <v>298</v>
      </c>
    </row>
    <row r="300" spans="1:6" x14ac:dyDescent="0.25">
      <c r="A300">
        <v>4</v>
      </c>
      <c r="B300" t="s">
        <v>460</v>
      </c>
      <c r="C300" t="s">
        <v>497</v>
      </c>
      <c r="D300">
        <v>285</v>
      </c>
      <c r="E300" s="3">
        <v>0</v>
      </c>
      <c r="F300">
        <f t="shared" si="4"/>
        <v>299</v>
      </c>
    </row>
    <row r="301" spans="1:6" x14ac:dyDescent="0.25">
      <c r="A301">
        <v>4</v>
      </c>
      <c r="B301" t="s">
        <v>460</v>
      </c>
      <c r="C301" t="s">
        <v>498</v>
      </c>
      <c r="D301">
        <v>287</v>
      </c>
      <c r="E301" s="3">
        <v>0</v>
      </c>
      <c r="F301">
        <f t="shared" si="4"/>
        <v>300</v>
      </c>
    </row>
    <row r="302" spans="1:6" x14ac:dyDescent="0.25">
      <c r="A302">
        <v>4</v>
      </c>
      <c r="B302" t="s">
        <v>460</v>
      </c>
      <c r="C302" t="s">
        <v>499</v>
      </c>
      <c r="D302">
        <v>296</v>
      </c>
      <c r="E302" s="3">
        <v>0</v>
      </c>
      <c r="F302">
        <f t="shared" si="4"/>
        <v>301</v>
      </c>
    </row>
    <row r="303" spans="1:6" x14ac:dyDescent="0.25">
      <c r="A303">
        <v>4</v>
      </c>
      <c r="B303" t="s">
        <v>460</v>
      </c>
      <c r="C303" t="s">
        <v>500</v>
      </c>
      <c r="D303">
        <v>297</v>
      </c>
      <c r="E303" s="3">
        <v>0</v>
      </c>
      <c r="F303">
        <f t="shared" si="4"/>
        <v>302</v>
      </c>
    </row>
    <row r="304" spans="1:6" x14ac:dyDescent="0.25">
      <c r="A304">
        <v>4</v>
      </c>
      <c r="B304" t="s">
        <v>460</v>
      </c>
      <c r="C304" t="s">
        <v>501</v>
      </c>
      <c r="D304">
        <v>300</v>
      </c>
      <c r="E304" s="3">
        <v>0</v>
      </c>
      <c r="F304">
        <f t="shared" si="4"/>
        <v>303</v>
      </c>
    </row>
    <row r="305" spans="1:6" x14ac:dyDescent="0.25">
      <c r="A305">
        <v>4</v>
      </c>
      <c r="B305" t="s">
        <v>460</v>
      </c>
      <c r="C305" t="s">
        <v>502</v>
      </c>
      <c r="D305">
        <v>316</v>
      </c>
      <c r="E305" s="3">
        <v>0</v>
      </c>
      <c r="F305">
        <f t="shared" si="4"/>
        <v>304</v>
      </c>
    </row>
    <row r="306" spans="1:6" x14ac:dyDescent="0.25">
      <c r="A306">
        <v>4</v>
      </c>
      <c r="B306" t="s">
        <v>460</v>
      </c>
      <c r="C306" t="s">
        <v>503</v>
      </c>
      <c r="D306">
        <v>320</v>
      </c>
      <c r="E306" s="3">
        <v>0</v>
      </c>
      <c r="F306">
        <f t="shared" si="4"/>
        <v>305</v>
      </c>
    </row>
    <row r="307" spans="1:6" x14ac:dyDescent="0.25">
      <c r="A307">
        <v>4</v>
      </c>
      <c r="B307" t="s">
        <v>460</v>
      </c>
      <c r="C307" t="s">
        <v>504</v>
      </c>
      <c r="D307">
        <v>324</v>
      </c>
      <c r="E307" s="3">
        <v>0</v>
      </c>
      <c r="F307">
        <f t="shared" si="4"/>
        <v>306</v>
      </c>
    </row>
    <row r="308" spans="1:6" x14ac:dyDescent="0.25">
      <c r="A308">
        <v>4</v>
      </c>
      <c r="B308" t="s">
        <v>460</v>
      </c>
      <c r="C308" t="s">
        <v>505</v>
      </c>
      <c r="D308">
        <v>338</v>
      </c>
      <c r="E308" s="3">
        <v>0</v>
      </c>
      <c r="F308">
        <f t="shared" si="4"/>
        <v>307</v>
      </c>
    </row>
    <row r="309" spans="1:6" x14ac:dyDescent="0.25">
      <c r="A309">
        <v>4</v>
      </c>
      <c r="B309" t="s">
        <v>460</v>
      </c>
      <c r="C309" t="s">
        <v>506</v>
      </c>
      <c r="D309">
        <v>341</v>
      </c>
      <c r="E309" s="3">
        <v>0</v>
      </c>
      <c r="F309">
        <f t="shared" si="4"/>
        <v>308</v>
      </c>
    </row>
    <row r="310" spans="1:6" x14ac:dyDescent="0.25">
      <c r="A310">
        <v>4</v>
      </c>
      <c r="B310" t="s">
        <v>460</v>
      </c>
      <c r="C310" t="s">
        <v>507</v>
      </c>
      <c r="D310">
        <v>343</v>
      </c>
      <c r="E310" s="3">
        <v>0</v>
      </c>
      <c r="F310">
        <f t="shared" si="4"/>
        <v>309</v>
      </c>
    </row>
    <row r="311" spans="1:6" x14ac:dyDescent="0.25">
      <c r="A311">
        <v>4</v>
      </c>
      <c r="B311" t="s">
        <v>460</v>
      </c>
      <c r="C311" t="s">
        <v>508</v>
      </c>
      <c r="D311">
        <v>351</v>
      </c>
      <c r="E311" s="3">
        <v>0</v>
      </c>
      <c r="F311">
        <f t="shared" si="4"/>
        <v>310</v>
      </c>
    </row>
    <row r="312" spans="1:6" x14ac:dyDescent="0.25">
      <c r="A312">
        <v>4</v>
      </c>
      <c r="B312" t="s">
        <v>460</v>
      </c>
      <c r="C312" t="s">
        <v>509</v>
      </c>
      <c r="D312">
        <v>352</v>
      </c>
      <c r="E312" s="3">
        <v>0</v>
      </c>
      <c r="F312">
        <f t="shared" si="4"/>
        <v>311</v>
      </c>
    </row>
    <row r="313" spans="1:6" x14ac:dyDescent="0.25">
      <c r="A313">
        <v>4</v>
      </c>
      <c r="B313" t="s">
        <v>460</v>
      </c>
      <c r="C313" t="s">
        <v>510</v>
      </c>
      <c r="D313">
        <v>356</v>
      </c>
      <c r="E313" s="3">
        <v>0</v>
      </c>
      <c r="F313">
        <f t="shared" si="4"/>
        <v>312</v>
      </c>
    </row>
    <row r="314" spans="1:6" x14ac:dyDescent="0.25">
      <c r="A314">
        <v>4</v>
      </c>
      <c r="B314" t="s">
        <v>460</v>
      </c>
      <c r="C314" t="s">
        <v>511</v>
      </c>
      <c r="D314">
        <v>361</v>
      </c>
      <c r="E314" s="3">
        <v>0</v>
      </c>
      <c r="F314">
        <f t="shared" si="4"/>
        <v>313</v>
      </c>
    </row>
    <row r="315" spans="1:6" x14ac:dyDescent="0.25">
      <c r="A315">
        <v>4</v>
      </c>
      <c r="B315" t="s">
        <v>460</v>
      </c>
      <c r="C315" t="s">
        <v>512</v>
      </c>
      <c r="D315">
        <v>394</v>
      </c>
      <c r="E315" s="3">
        <v>0</v>
      </c>
      <c r="F315">
        <f t="shared" si="4"/>
        <v>314</v>
      </c>
    </row>
    <row r="316" spans="1:6" x14ac:dyDescent="0.25">
      <c r="A316">
        <v>4</v>
      </c>
      <c r="B316" t="s">
        <v>460</v>
      </c>
      <c r="C316" t="s">
        <v>513</v>
      </c>
      <c r="D316">
        <v>397</v>
      </c>
      <c r="E316" s="3">
        <v>0</v>
      </c>
      <c r="F316">
        <f t="shared" si="4"/>
        <v>315</v>
      </c>
    </row>
    <row r="317" spans="1:6" x14ac:dyDescent="0.25">
      <c r="A317">
        <v>4</v>
      </c>
      <c r="B317" t="s">
        <v>460</v>
      </c>
      <c r="C317" t="s">
        <v>514</v>
      </c>
      <c r="D317">
        <v>406</v>
      </c>
      <c r="E317" s="3">
        <v>0</v>
      </c>
      <c r="F317">
        <f t="shared" si="4"/>
        <v>316</v>
      </c>
    </row>
    <row r="318" spans="1:6" x14ac:dyDescent="0.25">
      <c r="A318">
        <v>4</v>
      </c>
      <c r="B318" t="s">
        <v>460</v>
      </c>
      <c r="C318" t="s">
        <v>515</v>
      </c>
      <c r="D318">
        <v>407</v>
      </c>
      <c r="E318" s="3">
        <v>0</v>
      </c>
      <c r="F318">
        <f t="shared" si="4"/>
        <v>317</v>
      </c>
    </row>
    <row r="319" spans="1:6" x14ac:dyDescent="0.25">
      <c r="A319">
        <v>4</v>
      </c>
      <c r="B319" t="s">
        <v>460</v>
      </c>
      <c r="C319" t="s">
        <v>516</v>
      </c>
      <c r="D319">
        <v>411</v>
      </c>
      <c r="E319" s="3">
        <v>0</v>
      </c>
      <c r="F319">
        <f t="shared" si="4"/>
        <v>318</v>
      </c>
    </row>
    <row r="320" spans="1:6" x14ac:dyDescent="0.25">
      <c r="A320">
        <v>4</v>
      </c>
      <c r="B320" t="s">
        <v>460</v>
      </c>
      <c r="C320" t="s">
        <v>517</v>
      </c>
      <c r="D320">
        <v>442</v>
      </c>
      <c r="E320" s="3">
        <v>0</v>
      </c>
      <c r="F320">
        <f t="shared" si="4"/>
        <v>319</v>
      </c>
    </row>
    <row r="321" spans="1:6" x14ac:dyDescent="0.25">
      <c r="A321">
        <v>4</v>
      </c>
      <c r="B321" t="s">
        <v>460</v>
      </c>
      <c r="C321" t="s">
        <v>518</v>
      </c>
      <c r="D321">
        <v>469</v>
      </c>
      <c r="E321" s="3">
        <v>0</v>
      </c>
      <c r="F321">
        <f t="shared" si="4"/>
        <v>320</v>
      </c>
    </row>
    <row r="322" spans="1:6" x14ac:dyDescent="0.25">
      <c r="A322">
        <v>4</v>
      </c>
      <c r="B322" t="s">
        <v>460</v>
      </c>
      <c r="C322" t="s">
        <v>519</v>
      </c>
      <c r="D322">
        <v>716</v>
      </c>
      <c r="E322" s="3">
        <v>0</v>
      </c>
      <c r="F322">
        <f t="shared" si="4"/>
        <v>321</v>
      </c>
    </row>
    <row r="323" spans="1:6" x14ac:dyDescent="0.25">
      <c r="A323">
        <v>5</v>
      </c>
      <c r="B323" t="s">
        <v>520</v>
      </c>
      <c r="C323" t="s">
        <v>521</v>
      </c>
      <c r="D323">
        <v>119</v>
      </c>
      <c r="E323" s="3">
        <v>95.12</v>
      </c>
      <c r="F323">
        <f t="shared" si="4"/>
        <v>322</v>
      </c>
    </row>
    <row r="324" spans="1:6" x14ac:dyDescent="0.25">
      <c r="A324">
        <v>5</v>
      </c>
      <c r="B324" t="s">
        <v>520</v>
      </c>
      <c r="C324" t="s">
        <v>522</v>
      </c>
      <c r="D324">
        <v>319</v>
      </c>
      <c r="E324" s="3">
        <v>95.12</v>
      </c>
      <c r="F324">
        <f t="shared" ref="F324" si="5">F323+1</f>
        <v>323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resumo</vt:lpstr>
      <vt:lpstr>Budget</vt:lpstr>
      <vt:lpstr>Mensalidades</vt:lpstr>
      <vt:lpstr>Sócios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IRENE WIRTHMANN</cp:lastModifiedBy>
  <cp:lastPrinted>2021-11-25T21:34:45Z</cp:lastPrinted>
  <dcterms:created xsi:type="dcterms:W3CDTF">2019-03-12T14:05:57Z</dcterms:created>
  <dcterms:modified xsi:type="dcterms:W3CDTF">2025-02-14T13:37:53Z</dcterms:modified>
</cp:coreProperties>
</file>