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CSA\Documents\"/>
    </mc:Choice>
  </mc:AlternateContent>
  <bookViews>
    <workbookView xWindow="0" yWindow="0" windowWidth="28800" windowHeight="12300" activeTab="1"/>
  </bookViews>
  <sheets>
    <sheet name="resumo" sheetId="3" r:id="rId1"/>
    <sheet name="Budget" sheetId="1" r:id="rId2"/>
    <sheet name="Mensalidade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V132" i="1" l="1"/>
  <c r="AV135" i="1"/>
  <c r="AV130" i="1"/>
  <c r="AV136" i="1"/>
  <c r="AV114" i="1"/>
  <c r="AV119" i="1"/>
  <c r="AV113" i="1"/>
  <c r="AV53" i="1"/>
  <c r="AV60" i="1"/>
  <c r="AV57" i="1"/>
  <c r="AV55" i="1"/>
  <c r="AV50" i="1"/>
  <c r="AW109" i="1"/>
  <c r="AV82" i="1"/>
  <c r="AV78" i="1"/>
  <c r="AV29" i="1"/>
  <c r="AV24" i="1"/>
  <c r="AV33" i="1"/>
  <c r="AV13" i="1"/>
  <c r="AT13" i="1"/>
  <c r="AR13" i="1"/>
  <c r="AP13" i="1"/>
  <c r="AN13" i="1"/>
  <c r="AL13" i="1"/>
  <c r="AJ13" i="1"/>
  <c r="AH13" i="1"/>
  <c r="AF13" i="1"/>
  <c r="AT149" i="1"/>
  <c r="AT132" i="1"/>
  <c r="AT135" i="1"/>
  <c r="AT130" i="1"/>
  <c r="AT136" i="1"/>
  <c r="AT140" i="1"/>
  <c r="AT139" i="1"/>
  <c r="AT114" i="1"/>
  <c r="AT119" i="1"/>
  <c r="AT113" i="1"/>
  <c r="AT53" i="1"/>
  <c r="AT58" i="1"/>
  <c r="AT60" i="1"/>
  <c r="AT57" i="1"/>
  <c r="AT55" i="1"/>
  <c r="AT50" i="1"/>
  <c r="AT63" i="1"/>
  <c r="AU109" i="1"/>
  <c r="AT78" i="1"/>
  <c r="AT24" i="1"/>
  <c r="AT33" i="1"/>
  <c r="AR132" i="1"/>
  <c r="AR135" i="1"/>
  <c r="AR130" i="1"/>
  <c r="AR136" i="1"/>
  <c r="AR114" i="1"/>
  <c r="AR119" i="1"/>
  <c r="AR113" i="1"/>
  <c r="AR53" i="1"/>
  <c r="AR58" i="1"/>
  <c r="AR57" i="1"/>
  <c r="AR50" i="1"/>
  <c r="AR86" i="1"/>
  <c r="AR78" i="1"/>
  <c r="AR29" i="1"/>
  <c r="AR33" i="1"/>
  <c r="AP132" i="1"/>
  <c r="AP135" i="1"/>
  <c r="AP136" i="1"/>
  <c r="AP114" i="1"/>
  <c r="AP119" i="1"/>
  <c r="AP113" i="1"/>
  <c r="AP125" i="1"/>
  <c r="AP53" i="1"/>
  <c r="AP58" i="1"/>
  <c r="AP60" i="1"/>
  <c r="AP57" i="1"/>
  <c r="AP50" i="1"/>
  <c r="AP90" i="1"/>
  <c r="AP82" i="1"/>
  <c r="AP83" i="1"/>
  <c r="AP86" i="1"/>
  <c r="AP70" i="1"/>
  <c r="AP68" i="1"/>
  <c r="AP78" i="1"/>
  <c r="AP74" i="1"/>
  <c r="AP29" i="1"/>
  <c r="AP24" i="1"/>
  <c r="AP26" i="1"/>
  <c r="AP27" i="1"/>
  <c r="AP25" i="1"/>
  <c r="AP33" i="1"/>
  <c r="AN132" i="1"/>
  <c r="AN135" i="1"/>
  <c r="AN136" i="1"/>
  <c r="AN140" i="1"/>
  <c r="AN114" i="1"/>
  <c r="AN119" i="1"/>
  <c r="AN113" i="1"/>
  <c r="AN53" i="1"/>
  <c r="AN57" i="1"/>
  <c r="AN78" i="1"/>
  <c r="AN29" i="1"/>
  <c r="AN24" i="1"/>
  <c r="AN26" i="1"/>
  <c r="AN25" i="1"/>
  <c r="AN33" i="1"/>
  <c r="AL130" i="1" l="1"/>
  <c r="AL113" i="1"/>
  <c r="AL53" i="1"/>
  <c r="AL135" i="1" l="1"/>
  <c r="AL114" i="1"/>
  <c r="AL119" i="1"/>
  <c r="AL125" i="1"/>
  <c r="AL58" i="1"/>
  <c r="AL60" i="1"/>
  <c r="AL57" i="1"/>
  <c r="AL70" i="1"/>
  <c r="AL68" i="1"/>
  <c r="AL78" i="1"/>
  <c r="AL29" i="1"/>
  <c r="AL25" i="1"/>
  <c r="AL26" i="1"/>
  <c r="AL24" i="1"/>
  <c r="AL33" i="1"/>
  <c r="AJ132" i="1" l="1"/>
  <c r="AJ135" i="1"/>
  <c r="AJ130" i="1"/>
  <c r="AJ136" i="1"/>
  <c r="AJ114" i="1"/>
  <c r="AJ119" i="1"/>
  <c r="AJ113" i="1"/>
  <c r="AJ53" i="1"/>
  <c r="AJ58" i="1"/>
  <c r="AJ57" i="1"/>
  <c r="AJ50" i="1"/>
  <c r="AJ68" i="1"/>
  <c r="AJ78" i="1"/>
  <c r="AJ24" i="1" l="1"/>
  <c r="AJ25" i="1"/>
  <c r="AJ33" i="1"/>
  <c r="AH132" i="1" l="1"/>
  <c r="AH135" i="1"/>
  <c r="AH130" i="1"/>
  <c r="AH114" i="1"/>
  <c r="AH119" i="1"/>
  <c r="AH113" i="1"/>
  <c r="AH53" i="1"/>
  <c r="AH77" i="1"/>
  <c r="AH58" i="1"/>
  <c r="AH57" i="1"/>
  <c r="AH68" i="1"/>
  <c r="AH78" i="1"/>
  <c r="AH82" i="1" l="1"/>
  <c r="AH29" i="1"/>
  <c r="AH24" i="1"/>
  <c r="AH25" i="1"/>
  <c r="AH33" i="1"/>
  <c r="AF135" i="1" l="1"/>
  <c r="AF57" i="1"/>
  <c r="AF58" i="1"/>
  <c r="AF130" i="1"/>
  <c r="BD130" i="1" s="1"/>
  <c r="AF148" i="1"/>
  <c r="AF132" i="1"/>
  <c r="AF140" i="1"/>
  <c r="AF114" i="1"/>
  <c r="AF111" i="1" s="1"/>
  <c r="AF110" i="1" s="1"/>
  <c r="AF119" i="1"/>
  <c r="AF113" i="1"/>
  <c r="AF53" i="1"/>
  <c r="AF49" i="1" s="1"/>
  <c r="AF77" i="1"/>
  <c r="AF55" i="1"/>
  <c r="AF50" i="1"/>
  <c r="AF83" i="1"/>
  <c r="AF68" i="1"/>
  <c r="AF64" i="1" s="1"/>
  <c r="AF71" i="1"/>
  <c r="AF78" i="1"/>
  <c r="AF33" i="1"/>
  <c r="AF29" i="1"/>
  <c r="AF28" i="1" s="1"/>
  <c r="BB152" i="1"/>
  <c r="BB146" i="1"/>
  <c r="BB145" i="1"/>
  <c r="BB143" i="1"/>
  <c r="BB142" i="1" s="1"/>
  <c r="BB129" i="1"/>
  <c r="BB128" i="1"/>
  <c r="BB111" i="1"/>
  <c r="BB110" i="1" s="1"/>
  <c r="BB104" i="1"/>
  <c r="BB89" i="1"/>
  <c r="BB88" i="1" s="1"/>
  <c r="BB79" i="1"/>
  <c r="BB72" i="1"/>
  <c r="BB64" i="1"/>
  <c r="BB62" i="1"/>
  <c r="BB49" i="1"/>
  <c r="BB42" i="1"/>
  <c r="BB35" i="1"/>
  <c r="BB30" i="1"/>
  <c r="BB28" i="1"/>
  <c r="BB23" i="1"/>
  <c r="BB14" i="1"/>
  <c r="BB8" i="1" s="1"/>
  <c r="BB6" i="1" s="1"/>
  <c r="BB4" i="1" s="1"/>
  <c r="BB9" i="1"/>
  <c r="AZ152" i="1"/>
  <c r="AZ146" i="1"/>
  <c r="AZ145" i="1" s="1"/>
  <c r="AZ143" i="1"/>
  <c r="AZ142" i="1" s="1"/>
  <c r="AZ129" i="1"/>
  <c r="AZ128" i="1" s="1"/>
  <c r="AZ111" i="1"/>
  <c r="AZ110" i="1" s="1"/>
  <c r="AZ104" i="1"/>
  <c r="AZ89" i="1"/>
  <c r="AZ88" i="1"/>
  <c r="AZ79" i="1"/>
  <c r="AZ72" i="1"/>
  <c r="AZ64" i="1"/>
  <c r="AZ62" i="1"/>
  <c r="AZ49" i="1"/>
  <c r="AZ42" i="1"/>
  <c r="AZ35" i="1"/>
  <c r="AZ30" i="1"/>
  <c r="AZ28" i="1"/>
  <c r="AZ23" i="1"/>
  <c r="AZ14" i="1"/>
  <c r="AZ9" i="1"/>
  <c r="AZ8" i="1" s="1"/>
  <c r="AX152" i="1"/>
  <c r="AX146" i="1"/>
  <c r="AX145" i="1" s="1"/>
  <c r="AX143" i="1"/>
  <c r="AX142" i="1" s="1"/>
  <c r="AX129" i="1"/>
  <c r="AX128" i="1"/>
  <c r="AX111" i="1"/>
  <c r="AX110" i="1" s="1"/>
  <c r="AX104" i="1"/>
  <c r="AX89" i="1"/>
  <c r="AX88" i="1"/>
  <c r="AX79" i="1"/>
  <c r="AX72" i="1"/>
  <c r="AX64" i="1"/>
  <c r="AX62" i="1"/>
  <c r="AX49" i="1"/>
  <c r="AX42" i="1"/>
  <c r="AX35" i="1"/>
  <c r="AX30" i="1"/>
  <c r="AX28" i="1"/>
  <c r="AX23" i="1"/>
  <c r="AX14" i="1"/>
  <c r="AX9" i="1"/>
  <c r="AX8" i="1" s="1"/>
  <c r="AV152" i="1"/>
  <c r="AV146" i="1"/>
  <c r="AV145" i="1" s="1"/>
  <c r="AV143" i="1"/>
  <c r="AV142" i="1" s="1"/>
  <c r="AV129" i="1"/>
  <c r="AV128" i="1" s="1"/>
  <c r="AV111" i="1"/>
  <c r="AV110" i="1" s="1"/>
  <c r="AV104" i="1"/>
  <c r="AV89" i="1"/>
  <c r="AV88" i="1" s="1"/>
  <c r="AV79" i="1"/>
  <c r="AV72" i="1"/>
  <c r="AV64" i="1"/>
  <c r="AV62" i="1"/>
  <c r="AV49" i="1"/>
  <c r="AV42" i="1"/>
  <c r="AV35" i="1"/>
  <c r="AV30" i="1"/>
  <c r="AV28" i="1"/>
  <c r="AV23" i="1"/>
  <c r="AV14" i="1"/>
  <c r="AV9" i="1"/>
  <c r="AT152" i="1"/>
  <c r="AT146" i="1"/>
  <c r="AT145" i="1" s="1"/>
  <c r="AT143" i="1"/>
  <c r="AT142" i="1" s="1"/>
  <c r="AT129" i="1"/>
  <c r="AT128" i="1" s="1"/>
  <c r="AT111" i="1"/>
  <c r="AT110" i="1" s="1"/>
  <c r="AT104" i="1"/>
  <c r="AT89" i="1"/>
  <c r="AT88" i="1" s="1"/>
  <c r="AT79" i="1"/>
  <c r="AT72" i="1"/>
  <c r="AT64" i="1"/>
  <c r="AT62" i="1"/>
  <c r="AT49" i="1"/>
  <c r="AT42" i="1"/>
  <c r="AT35" i="1"/>
  <c r="AT30" i="1"/>
  <c r="AT28" i="1"/>
  <c r="AT23" i="1"/>
  <c r="AT14" i="1"/>
  <c r="AT9" i="1"/>
  <c r="AR152" i="1"/>
  <c r="AR146" i="1"/>
  <c r="AR145" i="1" s="1"/>
  <c r="AR143" i="1"/>
  <c r="AR142" i="1" s="1"/>
  <c r="AR129" i="1"/>
  <c r="AR128" i="1" s="1"/>
  <c r="AR111" i="1"/>
  <c r="AR110" i="1" s="1"/>
  <c r="AR104" i="1"/>
  <c r="AR89" i="1"/>
  <c r="AR88" i="1" s="1"/>
  <c r="AR79" i="1"/>
  <c r="AR72" i="1"/>
  <c r="AR64" i="1"/>
  <c r="AR62" i="1"/>
  <c r="AR49" i="1"/>
  <c r="AR42" i="1"/>
  <c r="AR35" i="1"/>
  <c r="AR30" i="1"/>
  <c r="AR28" i="1"/>
  <c r="AR23" i="1"/>
  <c r="AR14" i="1"/>
  <c r="AR9" i="1"/>
  <c r="AP152" i="1"/>
  <c r="AP146" i="1"/>
  <c r="AP145" i="1" s="1"/>
  <c r="AP143" i="1"/>
  <c r="AP142" i="1" s="1"/>
  <c r="AP129" i="1"/>
  <c r="AP128" i="1" s="1"/>
  <c r="AP111" i="1"/>
  <c r="AP110" i="1" s="1"/>
  <c r="AP104" i="1"/>
  <c r="AP89" i="1"/>
  <c r="AP88" i="1" s="1"/>
  <c r="AP79" i="1"/>
  <c r="AP72" i="1"/>
  <c r="AP64" i="1"/>
  <c r="AP62" i="1"/>
  <c r="AP49" i="1"/>
  <c r="AP42" i="1"/>
  <c r="AP35" i="1"/>
  <c r="AP30" i="1"/>
  <c r="AP28" i="1"/>
  <c r="AP23" i="1"/>
  <c r="AP14" i="1"/>
  <c r="AP9" i="1"/>
  <c r="AN152" i="1"/>
  <c r="AN146" i="1"/>
  <c r="AN145" i="1" s="1"/>
  <c r="AN143" i="1"/>
  <c r="AN142" i="1" s="1"/>
  <c r="AN129" i="1"/>
  <c r="AN128" i="1" s="1"/>
  <c r="AN111" i="1"/>
  <c r="AN110" i="1" s="1"/>
  <c r="AN104" i="1"/>
  <c r="AN89" i="1"/>
  <c r="AN88" i="1" s="1"/>
  <c r="AN79" i="1"/>
  <c r="AN72" i="1"/>
  <c r="AN64" i="1"/>
  <c r="AN62" i="1"/>
  <c r="AN49" i="1"/>
  <c r="AN42" i="1"/>
  <c r="AN35" i="1"/>
  <c r="AN30" i="1"/>
  <c r="AN28" i="1"/>
  <c r="AN23" i="1"/>
  <c r="AN14" i="1"/>
  <c r="AN9" i="1"/>
  <c r="AL152" i="1"/>
  <c r="AL146" i="1"/>
  <c r="AL145" i="1" s="1"/>
  <c r="AL143" i="1"/>
  <c r="AL142" i="1" s="1"/>
  <c r="AL129" i="1"/>
  <c r="AL128" i="1" s="1"/>
  <c r="AL111" i="1"/>
  <c r="AL110" i="1" s="1"/>
  <c r="AL104" i="1"/>
  <c r="AL89" i="1"/>
  <c r="AL88" i="1" s="1"/>
  <c r="AL79" i="1"/>
  <c r="AL72" i="1"/>
  <c r="AL64" i="1"/>
  <c r="AL62" i="1"/>
  <c r="AL49" i="1"/>
  <c r="AL42" i="1"/>
  <c r="AL35" i="1"/>
  <c r="AL30" i="1"/>
  <c r="AL28" i="1"/>
  <c r="AL23" i="1"/>
  <c r="AL14" i="1"/>
  <c r="AL9" i="1"/>
  <c r="AJ152" i="1"/>
  <c r="AJ146" i="1"/>
  <c r="AJ145" i="1" s="1"/>
  <c r="AJ143" i="1"/>
  <c r="AJ142" i="1" s="1"/>
  <c r="AJ129" i="1"/>
  <c r="AJ128" i="1" s="1"/>
  <c r="AJ111" i="1"/>
  <c r="AJ110" i="1" s="1"/>
  <c r="AJ104" i="1"/>
  <c r="AJ89" i="1"/>
  <c r="AJ88" i="1" s="1"/>
  <c r="AJ79" i="1"/>
  <c r="AJ72" i="1"/>
  <c r="AJ64" i="1"/>
  <c r="AJ62" i="1"/>
  <c r="AJ49" i="1"/>
  <c r="AJ42" i="1"/>
  <c r="AJ35" i="1"/>
  <c r="AJ30" i="1"/>
  <c r="AJ28" i="1"/>
  <c r="AJ23" i="1"/>
  <c r="AJ14" i="1"/>
  <c r="AJ9" i="1"/>
  <c r="AH152" i="1"/>
  <c r="AH146" i="1"/>
  <c r="AH145" i="1" s="1"/>
  <c r="AH143" i="1"/>
  <c r="AH142" i="1" s="1"/>
  <c r="AH129" i="1"/>
  <c r="AH128" i="1" s="1"/>
  <c r="AH111" i="1"/>
  <c r="AH110" i="1" s="1"/>
  <c r="AH104" i="1"/>
  <c r="AH89" i="1"/>
  <c r="AH88" i="1" s="1"/>
  <c r="AH79" i="1"/>
  <c r="AH72" i="1"/>
  <c r="AH64" i="1"/>
  <c r="AH62" i="1"/>
  <c r="AH49" i="1"/>
  <c r="AH42" i="1"/>
  <c r="AH35" i="1"/>
  <c r="AH30" i="1"/>
  <c r="AH28" i="1"/>
  <c r="AH23" i="1"/>
  <c r="AH14" i="1"/>
  <c r="AH9" i="1"/>
  <c r="BD144" i="1"/>
  <c r="BD143" i="1" s="1"/>
  <c r="BD142" i="1" s="1"/>
  <c r="BD134" i="1"/>
  <c r="BD133" i="1"/>
  <c r="BD132" i="1"/>
  <c r="BD80" i="1"/>
  <c r="BD51" i="1"/>
  <c r="BD43" i="1"/>
  <c r="BD40" i="1"/>
  <c r="BD39" i="1"/>
  <c r="BD12" i="1"/>
  <c r="AF152" i="1"/>
  <c r="AF146" i="1"/>
  <c r="AF145" i="1" s="1"/>
  <c r="AF143" i="1"/>
  <c r="AF142" i="1" s="1"/>
  <c r="AF104" i="1"/>
  <c r="AF89" i="1"/>
  <c r="AF88" i="1" s="1"/>
  <c r="AF79" i="1"/>
  <c r="AF62" i="1"/>
  <c r="AF42" i="1"/>
  <c r="AF35" i="1"/>
  <c r="AF30" i="1"/>
  <c r="AF23" i="1"/>
  <c r="AF14" i="1"/>
  <c r="AF9" i="1"/>
  <c r="AV8" i="1" l="1"/>
  <c r="AV6" i="1" s="1"/>
  <c r="AV4" i="1" s="1"/>
  <c r="AT48" i="1"/>
  <c r="AT47" i="1" s="1"/>
  <c r="AX6" i="1"/>
  <c r="AX4" i="1" s="1"/>
  <c r="AP8" i="1"/>
  <c r="AP6" i="1" s="1"/>
  <c r="AP4" i="1" s="1"/>
  <c r="AR8" i="1"/>
  <c r="AR6" i="1" s="1"/>
  <c r="AR4" i="1" s="1"/>
  <c r="AT8" i="1"/>
  <c r="BB48" i="1"/>
  <c r="AV48" i="1"/>
  <c r="AV47" i="1" s="1"/>
  <c r="AN8" i="1"/>
  <c r="AN6" i="1" s="1"/>
  <c r="AN4" i="1" s="1"/>
  <c r="AL8" i="1"/>
  <c r="AL6" i="1" s="1"/>
  <c r="AL4" i="1" s="1"/>
  <c r="AJ8" i="1"/>
  <c r="AJ6" i="1" s="1"/>
  <c r="AJ4" i="1" s="1"/>
  <c r="AH8" i="1"/>
  <c r="AH6" i="1" s="1"/>
  <c r="AH4" i="1" s="1"/>
  <c r="AF72" i="1"/>
  <c r="AF129" i="1"/>
  <c r="AF128" i="1" s="1"/>
  <c r="AH48" i="1"/>
  <c r="AH47" i="1" s="1"/>
  <c r="AZ48" i="1"/>
  <c r="AZ47" i="1" s="1"/>
  <c r="AR48" i="1"/>
  <c r="AR47" i="1" s="1"/>
  <c r="AT6" i="1"/>
  <c r="AT4" i="1" s="1"/>
  <c r="AZ6" i="1"/>
  <c r="AZ4" i="1" s="1"/>
  <c r="AJ48" i="1"/>
  <c r="AJ47" i="1" s="1"/>
  <c r="AL48" i="1"/>
  <c r="AL47" i="1" s="1"/>
  <c r="AN48" i="1"/>
  <c r="AN47" i="1" s="1"/>
  <c r="AP48" i="1"/>
  <c r="AP47" i="1" s="1"/>
  <c r="AX48" i="1"/>
  <c r="AX47" i="1" s="1"/>
  <c r="BB47" i="1"/>
  <c r="AK68" i="1"/>
  <c r="AM68" i="1" s="1"/>
  <c r="AO68" i="1" s="1"/>
  <c r="AQ68" i="1" s="1"/>
  <c r="AS68" i="1" s="1"/>
  <c r="AU68" i="1" s="1"/>
  <c r="AW68" i="1" s="1"/>
  <c r="AY68" i="1" s="1"/>
  <c r="BA68" i="1" s="1"/>
  <c r="BC68" i="1" s="1"/>
  <c r="AK58" i="1"/>
  <c r="AM58" i="1" s="1"/>
  <c r="AO58" i="1" s="1"/>
  <c r="AQ58" i="1" s="1"/>
  <c r="AS58" i="1" s="1"/>
  <c r="AU58" i="1" s="1"/>
  <c r="AW58" i="1" s="1"/>
  <c r="AY58" i="1" s="1"/>
  <c r="BA58" i="1" s="1"/>
  <c r="BC58" i="1" s="1"/>
  <c r="BD26" i="1"/>
  <c r="BD148" i="1"/>
  <c r="BD151" i="1"/>
  <c r="BD37" i="1"/>
  <c r="BD53" i="1"/>
  <c r="BD57" i="1"/>
  <c r="BD61" i="1"/>
  <c r="BD82" i="1"/>
  <c r="BE82" i="1" s="1"/>
  <c r="BD86" i="1"/>
  <c r="BD115" i="1"/>
  <c r="BD119" i="1"/>
  <c r="BD123" i="1"/>
  <c r="BE123" i="1" s="1"/>
  <c r="BD127" i="1"/>
  <c r="BD32" i="1"/>
  <c r="BD77" i="1"/>
  <c r="BD16" i="1"/>
  <c r="BD20" i="1"/>
  <c r="BE20" i="1" s="1"/>
  <c r="BD94" i="1"/>
  <c r="BD98" i="1"/>
  <c r="BD102" i="1"/>
  <c r="BD11" i="1"/>
  <c r="AI50" i="1"/>
  <c r="AF8" i="1"/>
  <c r="Z31" i="1"/>
  <c r="AA31" i="1" s="1"/>
  <c r="AK31" i="1" s="1"/>
  <c r="AB5" i="1"/>
  <c r="AB7" i="1"/>
  <c r="AB10" i="1"/>
  <c r="AB11" i="1"/>
  <c r="Z11" i="1" s="1"/>
  <c r="AA11" i="1" s="1"/>
  <c r="AB12" i="1"/>
  <c r="AB15" i="1"/>
  <c r="AB16" i="1"/>
  <c r="AB17" i="1"/>
  <c r="AB18" i="1"/>
  <c r="AB19" i="1"/>
  <c r="AB20" i="1"/>
  <c r="AB21" i="1"/>
  <c r="AB22" i="1"/>
  <c r="AB27" i="1"/>
  <c r="AB31" i="1"/>
  <c r="AB32" i="1"/>
  <c r="AB34" i="1"/>
  <c r="AB36" i="1"/>
  <c r="AB37" i="1"/>
  <c r="AB38" i="1"/>
  <c r="AB39" i="1"/>
  <c r="AB40" i="1"/>
  <c r="AB41" i="1"/>
  <c r="AB43" i="1"/>
  <c r="AB44" i="1"/>
  <c r="AB45" i="1"/>
  <c r="AB46" i="1"/>
  <c r="AB51" i="1"/>
  <c r="AB52" i="1"/>
  <c r="AB54" i="1"/>
  <c r="AB56" i="1"/>
  <c r="AB59" i="1"/>
  <c r="AB61" i="1"/>
  <c r="AB63" i="1"/>
  <c r="AB65" i="1"/>
  <c r="AB67" i="1"/>
  <c r="AB69" i="1"/>
  <c r="AB71" i="1"/>
  <c r="AB73" i="1"/>
  <c r="AB74" i="1"/>
  <c r="AB75" i="1"/>
  <c r="AB76" i="1"/>
  <c r="AB77" i="1"/>
  <c r="AB80" i="1"/>
  <c r="AB81" i="1"/>
  <c r="AB82" i="1"/>
  <c r="AB86" i="1"/>
  <c r="AB87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5" i="1"/>
  <c r="AB106" i="1"/>
  <c r="AB107" i="1"/>
  <c r="AB108" i="1"/>
  <c r="AB109" i="1"/>
  <c r="AB112" i="1"/>
  <c r="AB115" i="1"/>
  <c r="AB116" i="1"/>
  <c r="AB117" i="1"/>
  <c r="AB118" i="1"/>
  <c r="AB121" i="1"/>
  <c r="AB122" i="1"/>
  <c r="AB123" i="1"/>
  <c r="AB124" i="1"/>
  <c r="AB126" i="1"/>
  <c r="AB127" i="1"/>
  <c r="AB130" i="1"/>
  <c r="AB132" i="1"/>
  <c r="AB133" i="1"/>
  <c r="AB134" i="1"/>
  <c r="AB137" i="1"/>
  <c r="AB138" i="1"/>
  <c r="AB139" i="1"/>
  <c r="AB144" i="1"/>
  <c r="AB147" i="1"/>
  <c r="AB149" i="1"/>
  <c r="AB150" i="1"/>
  <c r="AB151" i="1"/>
  <c r="AB153" i="1"/>
  <c r="AB154" i="1"/>
  <c r="AB155" i="1"/>
  <c r="AA155" i="1"/>
  <c r="AA154" i="1"/>
  <c r="AA153" i="1"/>
  <c r="AA151" i="1"/>
  <c r="AA150" i="1"/>
  <c r="AK150" i="1" s="1"/>
  <c r="AM150" i="1" s="1"/>
  <c r="AO150" i="1" s="1"/>
  <c r="AQ150" i="1" s="1"/>
  <c r="AS150" i="1" s="1"/>
  <c r="AU150" i="1" s="1"/>
  <c r="AW150" i="1" s="1"/>
  <c r="AY150" i="1" s="1"/>
  <c r="BA150" i="1" s="1"/>
  <c r="BC150" i="1" s="1"/>
  <c r="AA149" i="1"/>
  <c r="AK149" i="1" s="1"/>
  <c r="AM149" i="1" s="1"/>
  <c r="AO149" i="1" s="1"/>
  <c r="AQ149" i="1" s="1"/>
  <c r="AS149" i="1" s="1"/>
  <c r="AU149" i="1" s="1"/>
  <c r="AW149" i="1" s="1"/>
  <c r="AY149" i="1" s="1"/>
  <c r="BA149" i="1" s="1"/>
  <c r="BC149" i="1" s="1"/>
  <c r="AA148" i="1"/>
  <c r="AA147" i="1"/>
  <c r="AK147" i="1" s="1"/>
  <c r="AA144" i="1"/>
  <c r="AA143" i="1" s="1"/>
  <c r="AA142" i="1" s="1"/>
  <c r="AA141" i="1"/>
  <c r="AA139" i="1"/>
  <c r="AA138" i="1"/>
  <c r="AK138" i="1" s="1"/>
  <c r="AM138" i="1" s="1"/>
  <c r="AO138" i="1" s="1"/>
  <c r="AQ138" i="1" s="1"/>
  <c r="AS138" i="1" s="1"/>
  <c r="AU138" i="1" s="1"/>
  <c r="AW138" i="1" s="1"/>
  <c r="AY138" i="1" s="1"/>
  <c r="BA138" i="1" s="1"/>
  <c r="BC138" i="1" s="1"/>
  <c r="AA137" i="1"/>
  <c r="AA136" i="1"/>
  <c r="AA135" i="1"/>
  <c r="AA134" i="1"/>
  <c r="AA133" i="1"/>
  <c r="AA132" i="1"/>
  <c r="AA130" i="1"/>
  <c r="AA127" i="1"/>
  <c r="AA126" i="1"/>
  <c r="AA125" i="1"/>
  <c r="AK125" i="1" s="1"/>
  <c r="AM125" i="1" s="1"/>
  <c r="AO125" i="1" s="1"/>
  <c r="AQ125" i="1" s="1"/>
  <c r="AS125" i="1" s="1"/>
  <c r="AU125" i="1" s="1"/>
  <c r="AW125" i="1" s="1"/>
  <c r="AY125" i="1" s="1"/>
  <c r="BA125" i="1" s="1"/>
  <c r="BC125" i="1" s="1"/>
  <c r="AA124" i="1"/>
  <c r="AA123" i="1"/>
  <c r="AA122" i="1"/>
  <c r="AA121" i="1"/>
  <c r="AA120" i="1"/>
  <c r="AK120" i="1" s="1"/>
  <c r="AM120" i="1" s="1"/>
  <c r="AO120" i="1" s="1"/>
  <c r="AQ120" i="1" s="1"/>
  <c r="AS120" i="1" s="1"/>
  <c r="AU120" i="1" s="1"/>
  <c r="AW120" i="1" s="1"/>
  <c r="AY120" i="1" s="1"/>
  <c r="BA120" i="1" s="1"/>
  <c r="BC120" i="1" s="1"/>
  <c r="AA119" i="1"/>
  <c r="AA118" i="1"/>
  <c r="AA117" i="1"/>
  <c r="AA116" i="1"/>
  <c r="AA115" i="1"/>
  <c r="AA114" i="1"/>
  <c r="AK114" i="1" s="1"/>
  <c r="AM114" i="1" s="1"/>
  <c r="AO114" i="1" s="1"/>
  <c r="AQ114" i="1" s="1"/>
  <c r="AS114" i="1" s="1"/>
  <c r="AU114" i="1" s="1"/>
  <c r="AW114" i="1" s="1"/>
  <c r="AY114" i="1" s="1"/>
  <c r="BA114" i="1" s="1"/>
  <c r="BC114" i="1" s="1"/>
  <c r="AA113" i="1"/>
  <c r="AA112" i="1"/>
  <c r="AG112" i="1" s="1"/>
  <c r="AA109" i="1"/>
  <c r="AA108" i="1"/>
  <c r="AA107" i="1"/>
  <c r="AA106" i="1"/>
  <c r="AK106" i="1" s="1"/>
  <c r="AM106" i="1" s="1"/>
  <c r="AO106" i="1" s="1"/>
  <c r="AQ106" i="1" s="1"/>
  <c r="AS106" i="1" s="1"/>
  <c r="AU106" i="1" s="1"/>
  <c r="AW106" i="1" s="1"/>
  <c r="AY106" i="1" s="1"/>
  <c r="BA106" i="1" s="1"/>
  <c r="BC106" i="1" s="1"/>
  <c r="AA105" i="1"/>
  <c r="AA103" i="1"/>
  <c r="AA102" i="1"/>
  <c r="AA101" i="1"/>
  <c r="AA100" i="1"/>
  <c r="AK100" i="1" s="1"/>
  <c r="AM100" i="1" s="1"/>
  <c r="AO100" i="1" s="1"/>
  <c r="AQ100" i="1" s="1"/>
  <c r="AS100" i="1" s="1"/>
  <c r="AU100" i="1" s="1"/>
  <c r="AW100" i="1" s="1"/>
  <c r="AY100" i="1" s="1"/>
  <c r="BA100" i="1" s="1"/>
  <c r="BC100" i="1" s="1"/>
  <c r="AA99" i="1"/>
  <c r="AK99" i="1" s="1"/>
  <c r="AM99" i="1" s="1"/>
  <c r="AO99" i="1" s="1"/>
  <c r="AQ99" i="1" s="1"/>
  <c r="AS99" i="1" s="1"/>
  <c r="AU99" i="1" s="1"/>
  <c r="AW99" i="1" s="1"/>
  <c r="AY99" i="1" s="1"/>
  <c r="BA99" i="1" s="1"/>
  <c r="BC99" i="1" s="1"/>
  <c r="AA98" i="1"/>
  <c r="AA97" i="1"/>
  <c r="AA96" i="1"/>
  <c r="AK96" i="1" s="1"/>
  <c r="AM96" i="1" s="1"/>
  <c r="AO96" i="1" s="1"/>
  <c r="AQ96" i="1" s="1"/>
  <c r="AS96" i="1" s="1"/>
  <c r="AU96" i="1" s="1"/>
  <c r="AW96" i="1" s="1"/>
  <c r="AY96" i="1" s="1"/>
  <c r="BA96" i="1" s="1"/>
  <c r="BC96" i="1" s="1"/>
  <c r="AA95" i="1"/>
  <c r="AK95" i="1" s="1"/>
  <c r="AM95" i="1" s="1"/>
  <c r="AO95" i="1" s="1"/>
  <c r="AQ95" i="1" s="1"/>
  <c r="AS95" i="1" s="1"/>
  <c r="AU95" i="1" s="1"/>
  <c r="AW95" i="1" s="1"/>
  <c r="AY95" i="1" s="1"/>
  <c r="BA95" i="1" s="1"/>
  <c r="BC95" i="1" s="1"/>
  <c r="AA94" i="1"/>
  <c r="AA93" i="1"/>
  <c r="AA92" i="1"/>
  <c r="AA91" i="1"/>
  <c r="AA90" i="1"/>
  <c r="AG90" i="1" s="1"/>
  <c r="AA87" i="1"/>
  <c r="AK87" i="1" s="1"/>
  <c r="AM87" i="1" s="1"/>
  <c r="AO87" i="1" s="1"/>
  <c r="AQ87" i="1" s="1"/>
  <c r="AS87" i="1" s="1"/>
  <c r="AU87" i="1" s="1"/>
  <c r="AW87" i="1" s="1"/>
  <c r="AY87" i="1" s="1"/>
  <c r="BA87" i="1" s="1"/>
  <c r="BC87" i="1" s="1"/>
  <c r="AA86" i="1"/>
  <c r="AA85" i="1"/>
  <c r="AK85" i="1" s="1"/>
  <c r="AM85" i="1" s="1"/>
  <c r="AO85" i="1" s="1"/>
  <c r="AQ85" i="1" s="1"/>
  <c r="AS85" i="1" s="1"/>
  <c r="AU85" i="1" s="1"/>
  <c r="AW85" i="1" s="1"/>
  <c r="AY85" i="1" s="1"/>
  <c r="BA85" i="1" s="1"/>
  <c r="BC85" i="1" s="1"/>
  <c r="AA84" i="1"/>
  <c r="AA83" i="1"/>
  <c r="AA82" i="1"/>
  <c r="AA81" i="1"/>
  <c r="AA80" i="1"/>
  <c r="AA78" i="1"/>
  <c r="AA77" i="1"/>
  <c r="AI77" i="1" s="1"/>
  <c r="AK77" i="1" s="1"/>
  <c r="AM77" i="1" s="1"/>
  <c r="AO77" i="1" s="1"/>
  <c r="AQ77" i="1" s="1"/>
  <c r="AS77" i="1" s="1"/>
  <c r="AU77" i="1" s="1"/>
  <c r="AW77" i="1" s="1"/>
  <c r="AY77" i="1" s="1"/>
  <c r="BA77" i="1" s="1"/>
  <c r="BC77" i="1" s="1"/>
  <c r="AA76" i="1"/>
  <c r="AK76" i="1" s="1"/>
  <c r="AM76" i="1" s="1"/>
  <c r="AO76" i="1" s="1"/>
  <c r="AQ76" i="1" s="1"/>
  <c r="AS76" i="1" s="1"/>
  <c r="AU76" i="1" s="1"/>
  <c r="AW76" i="1" s="1"/>
  <c r="AY76" i="1" s="1"/>
  <c r="BA76" i="1" s="1"/>
  <c r="BC76" i="1" s="1"/>
  <c r="AA75" i="1"/>
  <c r="AA74" i="1"/>
  <c r="AA73" i="1"/>
  <c r="AA71" i="1"/>
  <c r="AA70" i="1"/>
  <c r="AK70" i="1" s="1"/>
  <c r="AM70" i="1" s="1"/>
  <c r="AO70" i="1" s="1"/>
  <c r="AQ70" i="1" s="1"/>
  <c r="AS70" i="1" s="1"/>
  <c r="AU70" i="1" s="1"/>
  <c r="AW70" i="1" s="1"/>
  <c r="AY70" i="1" s="1"/>
  <c r="BA70" i="1" s="1"/>
  <c r="BC70" i="1" s="1"/>
  <c r="AA69" i="1"/>
  <c r="AK69" i="1" s="1"/>
  <c r="AM69" i="1" s="1"/>
  <c r="AO69" i="1" s="1"/>
  <c r="AQ69" i="1" s="1"/>
  <c r="AS69" i="1" s="1"/>
  <c r="AU69" i="1" s="1"/>
  <c r="AW69" i="1" s="1"/>
  <c r="AY69" i="1" s="1"/>
  <c r="BA69" i="1" s="1"/>
  <c r="BC69" i="1" s="1"/>
  <c r="AA68" i="1"/>
  <c r="AI68" i="1" s="1"/>
  <c r="AA67" i="1"/>
  <c r="AA66" i="1"/>
  <c r="AA65" i="1"/>
  <c r="AA63" i="1"/>
  <c r="AK63" i="1" s="1"/>
  <c r="AA61" i="1"/>
  <c r="AA60" i="1"/>
  <c r="AA59" i="1"/>
  <c r="AA58" i="1"/>
  <c r="AA57" i="1"/>
  <c r="AA56" i="1"/>
  <c r="AK56" i="1" s="1"/>
  <c r="AM56" i="1" s="1"/>
  <c r="AO56" i="1" s="1"/>
  <c r="AQ56" i="1" s="1"/>
  <c r="AS56" i="1" s="1"/>
  <c r="AU56" i="1" s="1"/>
  <c r="AW56" i="1" s="1"/>
  <c r="AY56" i="1" s="1"/>
  <c r="BA56" i="1" s="1"/>
  <c r="BC56" i="1" s="1"/>
  <c r="AA55" i="1"/>
  <c r="AA54" i="1"/>
  <c r="AK54" i="1" s="1"/>
  <c r="AM54" i="1" s="1"/>
  <c r="AO54" i="1" s="1"/>
  <c r="AQ54" i="1" s="1"/>
  <c r="AS54" i="1" s="1"/>
  <c r="AU54" i="1" s="1"/>
  <c r="AW54" i="1" s="1"/>
  <c r="AY54" i="1" s="1"/>
  <c r="BA54" i="1" s="1"/>
  <c r="BC54" i="1" s="1"/>
  <c r="AA53" i="1"/>
  <c r="AA52" i="1"/>
  <c r="AA51" i="1"/>
  <c r="AA50" i="1"/>
  <c r="AG50" i="1" s="1"/>
  <c r="AA46" i="1"/>
  <c r="AK46" i="1" s="1"/>
  <c r="AM46" i="1" s="1"/>
  <c r="AO46" i="1" s="1"/>
  <c r="AQ46" i="1" s="1"/>
  <c r="AS46" i="1" s="1"/>
  <c r="AU46" i="1" s="1"/>
  <c r="AW46" i="1" s="1"/>
  <c r="AY46" i="1" s="1"/>
  <c r="BA46" i="1" s="1"/>
  <c r="BC46" i="1" s="1"/>
  <c r="AA45" i="1"/>
  <c r="AA44" i="1"/>
  <c r="AK44" i="1" s="1"/>
  <c r="AA43" i="1"/>
  <c r="AA41" i="1"/>
  <c r="AK41" i="1" s="1"/>
  <c r="AM41" i="1" s="1"/>
  <c r="AO41" i="1" s="1"/>
  <c r="AQ41" i="1" s="1"/>
  <c r="AS41" i="1" s="1"/>
  <c r="AU41" i="1" s="1"/>
  <c r="AW41" i="1" s="1"/>
  <c r="AY41" i="1" s="1"/>
  <c r="BA41" i="1" s="1"/>
  <c r="BC41" i="1" s="1"/>
  <c r="AA40" i="1"/>
  <c r="AA39" i="1"/>
  <c r="AA38" i="1"/>
  <c r="AA37" i="1"/>
  <c r="AA36" i="1"/>
  <c r="AK36" i="1" s="1"/>
  <c r="AM36" i="1" s="1"/>
  <c r="AA34" i="1"/>
  <c r="AA33" i="1"/>
  <c r="AK33" i="1" s="1"/>
  <c r="AM33" i="1" s="1"/>
  <c r="AO33" i="1" s="1"/>
  <c r="AQ33" i="1" s="1"/>
  <c r="AS33" i="1" s="1"/>
  <c r="AU33" i="1" s="1"/>
  <c r="AW33" i="1" s="1"/>
  <c r="AY33" i="1" s="1"/>
  <c r="BA33" i="1" s="1"/>
  <c r="BC33" i="1" s="1"/>
  <c r="AA32" i="1"/>
  <c r="AA29" i="1"/>
  <c r="AK29" i="1" s="1"/>
  <c r="AA27" i="1"/>
  <c r="AK27" i="1" s="1"/>
  <c r="AM27" i="1" s="1"/>
  <c r="AO27" i="1" s="1"/>
  <c r="AQ27" i="1" s="1"/>
  <c r="AS27" i="1" s="1"/>
  <c r="AU27" i="1" s="1"/>
  <c r="AW27" i="1" s="1"/>
  <c r="AY27" i="1" s="1"/>
  <c r="BA27" i="1" s="1"/>
  <c r="BC27" i="1" s="1"/>
  <c r="AA26" i="1"/>
  <c r="AA25" i="1"/>
  <c r="AK25" i="1" s="1"/>
  <c r="AM25" i="1" s="1"/>
  <c r="AO25" i="1" s="1"/>
  <c r="AQ25" i="1" s="1"/>
  <c r="AS25" i="1" s="1"/>
  <c r="AU25" i="1" s="1"/>
  <c r="AW25" i="1" s="1"/>
  <c r="AY25" i="1" s="1"/>
  <c r="BA25" i="1" s="1"/>
  <c r="BC25" i="1" s="1"/>
  <c r="AA24" i="1"/>
  <c r="AG24" i="1" s="1"/>
  <c r="AA22" i="1"/>
  <c r="AK22" i="1" s="1"/>
  <c r="AM22" i="1" s="1"/>
  <c r="AO22" i="1" s="1"/>
  <c r="AQ22" i="1" s="1"/>
  <c r="AS22" i="1" s="1"/>
  <c r="AU22" i="1" s="1"/>
  <c r="AW22" i="1" s="1"/>
  <c r="AY22" i="1" s="1"/>
  <c r="BA22" i="1" s="1"/>
  <c r="BC22" i="1" s="1"/>
  <c r="AA21" i="1"/>
  <c r="AK21" i="1" s="1"/>
  <c r="AM21" i="1" s="1"/>
  <c r="AO21" i="1" s="1"/>
  <c r="AQ21" i="1" s="1"/>
  <c r="AS21" i="1" s="1"/>
  <c r="AU21" i="1" s="1"/>
  <c r="AW21" i="1" s="1"/>
  <c r="AY21" i="1" s="1"/>
  <c r="BA21" i="1" s="1"/>
  <c r="BC21" i="1" s="1"/>
  <c r="AA20" i="1"/>
  <c r="AA19" i="1"/>
  <c r="AA18" i="1"/>
  <c r="AG18" i="1" s="1"/>
  <c r="AA17" i="1"/>
  <c r="AK17" i="1" s="1"/>
  <c r="AM17" i="1" s="1"/>
  <c r="AO17" i="1" s="1"/>
  <c r="AQ17" i="1" s="1"/>
  <c r="AS17" i="1" s="1"/>
  <c r="AU17" i="1" s="1"/>
  <c r="AW17" i="1" s="1"/>
  <c r="AY17" i="1" s="1"/>
  <c r="BA17" i="1" s="1"/>
  <c r="BC17" i="1" s="1"/>
  <c r="AA16" i="1"/>
  <c r="AA15" i="1"/>
  <c r="AG15" i="1" s="1"/>
  <c r="AA13" i="1"/>
  <c r="AK13" i="1" s="1"/>
  <c r="AM13" i="1" s="1"/>
  <c r="AO13" i="1" s="1"/>
  <c r="AQ13" i="1" s="1"/>
  <c r="AS13" i="1" s="1"/>
  <c r="AU13" i="1" s="1"/>
  <c r="AW13" i="1" s="1"/>
  <c r="AY13" i="1" s="1"/>
  <c r="BA13" i="1" s="1"/>
  <c r="BC13" i="1" s="1"/>
  <c r="AA12" i="1"/>
  <c r="X12" i="1"/>
  <c r="Y12" i="1" s="1"/>
  <c r="AI15" i="1" l="1"/>
  <c r="BE37" i="1"/>
  <c r="AG59" i="1"/>
  <c r="AI59" i="1"/>
  <c r="AI83" i="1"/>
  <c r="AG83" i="1"/>
  <c r="AG101" i="1"/>
  <c r="AI101" i="1"/>
  <c r="AG116" i="1"/>
  <c r="AI116" i="1"/>
  <c r="AG19" i="1"/>
  <c r="AI19" i="1"/>
  <c r="AI36" i="1"/>
  <c r="AG36" i="1"/>
  <c r="AG52" i="1"/>
  <c r="AI52" i="1"/>
  <c r="AI60" i="1"/>
  <c r="AG60" i="1"/>
  <c r="AG66" i="1"/>
  <c r="AI66" i="1"/>
  <c r="AG70" i="1"/>
  <c r="AI70" i="1"/>
  <c r="AI75" i="1"/>
  <c r="AG75" i="1"/>
  <c r="AG84" i="1"/>
  <c r="AI84" i="1"/>
  <c r="AI94" i="1"/>
  <c r="AK94" i="1" s="1"/>
  <c r="AM94" i="1" s="1"/>
  <c r="AO94" i="1" s="1"/>
  <c r="AQ94" i="1" s="1"/>
  <c r="AS94" i="1" s="1"/>
  <c r="AU94" i="1" s="1"/>
  <c r="AW94" i="1" s="1"/>
  <c r="AY94" i="1" s="1"/>
  <c r="BA94" i="1" s="1"/>
  <c r="BC94" i="1" s="1"/>
  <c r="AG94" i="1"/>
  <c r="AI98" i="1"/>
  <c r="AK98" i="1" s="1"/>
  <c r="AM98" i="1" s="1"/>
  <c r="AO98" i="1" s="1"/>
  <c r="AQ98" i="1" s="1"/>
  <c r="AS98" i="1" s="1"/>
  <c r="AU98" i="1" s="1"/>
  <c r="AW98" i="1" s="1"/>
  <c r="AY98" i="1" s="1"/>
  <c r="BA98" i="1" s="1"/>
  <c r="BC98" i="1" s="1"/>
  <c r="AG98" i="1"/>
  <c r="AI102" i="1"/>
  <c r="AK102" i="1" s="1"/>
  <c r="AM102" i="1" s="1"/>
  <c r="AO102" i="1" s="1"/>
  <c r="AQ102" i="1" s="1"/>
  <c r="AS102" i="1" s="1"/>
  <c r="AU102" i="1" s="1"/>
  <c r="AW102" i="1" s="1"/>
  <c r="AY102" i="1" s="1"/>
  <c r="BA102" i="1" s="1"/>
  <c r="BC102" i="1" s="1"/>
  <c r="AG102" i="1"/>
  <c r="AI107" i="1"/>
  <c r="AG107" i="1"/>
  <c r="AG113" i="1"/>
  <c r="AI113" i="1"/>
  <c r="AG117" i="1"/>
  <c r="AI117" i="1"/>
  <c r="AG121" i="1"/>
  <c r="AI121" i="1"/>
  <c r="AG125" i="1"/>
  <c r="AI125" i="1"/>
  <c r="AI136" i="1"/>
  <c r="AG136" i="1"/>
  <c r="AI141" i="1"/>
  <c r="AG141" i="1"/>
  <c r="AI149" i="1"/>
  <c r="AG149" i="1"/>
  <c r="AI154" i="1"/>
  <c r="AG154" i="1"/>
  <c r="AF48" i="1"/>
  <c r="AI90" i="1"/>
  <c r="BE102" i="1"/>
  <c r="BE16" i="1"/>
  <c r="BE119" i="1"/>
  <c r="BE61" i="1"/>
  <c r="AK116" i="1"/>
  <c r="AM116" i="1" s="1"/>
  <c r="AO116" i="1" s="1"/>
  <c r="AQ116" i="1" s="1"/>
  <c r="AS116" i="1" s="1"/>
  <c r="AU116" i="1" s="1"/>
  <c r="AW116" i="1" s="1"/>
  <c r="AY116" i="1" s="1"/>
  <c r="BA116" i="1" s="1"/>
  <c r="BC116" i="1" s="1"/>
  <c r="BE26" i="1"/>
  <c r="AK83" i="1"/>
  <c r="AM83" i="1" s="1"/>
  <c r="AO83" i="1" s="1"/>
  <c r="AQ83" i="1" s="1"/>
  <c r="AS83" i="1" s="1"/>
  <c r="AU83" i="1" s="1"/>
  <c r="AW83" i="1" s="1"/>
  <c r="AY83" i="1" s="1"/>
  <c r="BA83" i="1" s="1"/>
  <c r="BC83" i="1" s="1"/>
  <c r="AK66" i="1"/>
  <c r="AK136" i="1"/>
  <c r="AM136" i="1" s="1"/>
  <c r="AO136" i="1" s="1"/>
  <c r="AQ136" i="1" s="1"/>
  <c r="AS136" i="1" s="1"/>
  <c r="AU136" i="1" s="1"/>
  <c r="AW136" i="1" s="1"/>
  <c r="AY136" i="1" s="1"/>
  <c r="BA136" i="1" s="1"/>
  <c r="BC136" i="1" s="1"/>
  <c r="AK121" i="1"/>
  <c r="AM121" i="1" s="1"/>
  <c r="AO121" i="1" s="1"/>
  <c r="AQ121" i="1" s="1"/>
  <c r="AS121" i="1" s="1"/>
  <c r="AU121" i="1" s="1"/>
  <c r="AW121" i="1" s="1"/>
  <c r="AY121" i="1" s="1"/>
  <c r="BA121" i="1" s="1"/>
  <c r="BC121" i="1" s="1"/>
  <c r="AK52" i="1"/>
  <c r="AM52" i="1" s="1"/>
  <c r="AO52" i="1" s="1"/>
  <c r="AQ52" i="1" s="1"/>
  <c r="AS52" i="1" s="1"/>
  <c r="AU52" i="1" s="1"/>
  <c r="AW52" i="1" s="1"/>
  <c r="AY52" i="1" s="1"/>
  <c r="BA52" i="1" s="1"/>
  <c r="BC52" i="1" s="1"/>
  <c r="AK141" i="1"/>
  <c r="AM141" i="1" s="1"/>
  <c r="AO141" i="1" s="1"/>
  <c r="AQ141" i="1" s="1"/>
  <c r="AS141" i="1" s="1"/>
  <c r="AU141" i="1" s="1"/>
  <c r="AW141" i="1" s="1"/>
  <c r="AY141" i="1" s="1"/>
  <c r="BA141" i="1" s="1"/>
  <c r="BC141" i="1" s="1"/>
  <c r="AG77" i="1"/>
  <c r="AI27" i="1"/>
  <c r="AG27" i="1"/>
  <c r="AG44" i="1"/>
  <c r="AI44" i="1"/>
  <c r="AG65" i="1"/>
  <c r="AI65" i="1"/>
  <c r="AG78" i="1"/>
  <c r="AI78" i="1"/>
  <c r="AG93" i="1"/>
  <c r="AI93" i="1"/>
  <c r="AI124" i="1"/>
  <c r="AG124" i="1"/>
  <c r="AG139" i="1"/>
  <c r="AI139" i="1"/>
  <c r="AG153" i="1"/>
  <c r="AI153" i="1"/>
  <c r="AI31" i="1"/>
  <c r="AG31" i="1"/>
  <c r="AI18" i="1"/>
  <c r="AK93" i="1"/>
  <c r="AM93" i="1" s="1"/>
  <c r="AO93" i="1" s="1"/>
  <c r="AQ93" i="1" s="1"/>
  <c r="AS93" i="1" s="1"/>
  <c r="AU93" i="1" s="1"/>
  <c r="AW93" i="1" s="1"/>
  <c r="AY93" i="1" s="1"/>
  <c r="BA93" i="1" s="1"/>
  <c r="BC93" i="1" s="1"/>
  <c r="AA28" i="1"/>
  <c r="AM28" i="1" s="1"/>
  <c r="AG29" i="1"/>
  <c r="AI29" i="1"/>
  <c r="AI45" i="1"/>
  <c r="AG45" i="1"/>
  <c r="AI56" i="1"/>
  <c r="AG56" i="1"/>
  <c r="AI16" i="1"/>
  <c r="AK16" i="1" s="1"/>
  <c r="AM16" i="1" s="1"/>
  <c r="AO16" i="1" s="1"/>
  <c r="AQ16" i="1" s="1"/>
  <c r="AS16" i="1" s="1"/>
  <c r="AU16" i="1" s="1"/>
  <c r="AW16" i="1" s="1"/>
  <c r="AY16" i="1" s="1"/>
  <c r="BA16" i="1" s="1"/>
  <c r="BC16" i="1" s="1"/>
  <c r="AG16" i="1"/>
  <c r="AI20" i="1"/>
  <c r="AK20" i="1" s="1"/>
  <c r="AM20" i="1" s="1"/>
  <c r="AO20" i="1" s="1"/>
  <c r="AQ20" i="1" s="1"/>
  <c r="AS20" i="1" s="1"/>
  <c r="AU20" i="1" s="1"/>
  <c r="AW20" i="1" s="1"/>
  <c r="AY20" i="1" s="1"/>
  <c r="BA20" i="1" s="1"/>
  <c r="BC20" i="1" s="1"/>
  <c r="AG20" i="1"/>
  <c r="AG25" i="1"/>
  <c r="AI25" i="1"/>
  <c r="AG32" i="1"/>
  <c r="AI32" i="1"/>
  <c r="AK32" i="1" s="1"/>
  <c r="AM32" i="1" s="1"/>
  <c r="AO32" i="1" s="1"/>
  <c r="AQ32" i="1" s="1"/>
  <c r="AS32" i="1" s="1"/>
  <c r="AU32" i="1" s="1"/>
  <c r="AW32" i="1" s="1"/>
  <c r="AY32" i="1" s="1"/>
  <c r="BA32" i="1" s="1"/>
  <c r="BC32" i="1" s="1"/>
  <c r="AI37" i="1"/>
  <c r="AK37" i="1" s="1"/>
  <c r="AM37" i="1" s="1"/>
  <c r="AO37" i="1" s="1"/>
  <c r="AQ37" i="1" s="1"/>
  <c r="AS37" i="1" s="1"/>
  <c r="AU37" i="1" s="1"/>
  <c r="AW37" i="1" s="1"/>
  <c r="AY37" i="1" s="1"/>
  <c r="BA37" i="1" s="1"/>
  <c r="BC37" i="1" s="1"/>
  <c r="AG37" i="1"/>
  <c r="AG41" i="1"/>
  <c r="AI41" i="1"/>
  <c r="AG46" i="1"/>
  <c r="AI46" i="1"/>
  <c r="AG53" i="1"/>
  <c r="AI53" i="1"/>
  <c r="AK53" i="1" s="1"/>
  <c r="AM53" i="1" s="1"/>
  <c r="AO53" i="1" s="1"/>
  <c r="AQ53" i="1" s="1"/>
  <c r="AS53" i="1" s="1"/>
  <c r="AU53" i="1" s="1"/>
  <c r="AW53" i="1" s="1"/>
  <c r="AY53" i="1" s="1"/>
  <c r="BA53" i="1" s="1"/>
  <c r="BC53" i="1" s="1"/>
  <c r="AI57" i="1"/>
  <c r="AK57" i="1" s="1"/>
  <c r="AM57" i="1" s="1"/>
  <c r="AO57" i="1" s="1"/>
  <c r="AQ57" i="1" s="1"/>
  <c r="AS57" i="1" s="1"/>
  <c r="AU57" i="1" s="1"/>
  <c r="AW57" i="1" s="1"/>
  <c r="AY57" i="1" s="1"/>
  <c r="BA57" i="1" s="1"/>
  <c r="BC57" i="1" s="1"/>
  <c r="AG57" i="1"/>
  <c r="AI61" i="1"/>
  <c r="AK61" i="1" s="1"/>
  <c r="AM61" i="1" s="1"/>
  <c r="AO61" i="1" s="1"/>
  <c r="AQ61" i="1" s="1"/>
  <c r="AS61" i="1" s="1"/>
  <c r="AU61" i="1" s="1"/>
  <c r="AW61" i="1" s="1"/>
  <c r="AY61" i="1" s="1"/>
  <c r="BA61" i="1" s="1"/>
  <c r="BC61" i="1" s="1"/>
  <c r="AG61" i="1"/>
  <c r="AG67" i="1"/>
  <c r="AI67" i="1"/>
  <c r="AG71" i="1"/>
  <c r="AI71" i="1"/>
  <c r="AG76" i="1"/>
  <c r="AI76" i="1"/>
  <c r="AI81" i="1"/>
  <c r="AG81" i="1"/>
  <c r="AG85" i="1"/>
  <c r="AI85" i="1"/>
  <c r="AI91" i="1"/>
  <c r="AG91" i="1"/>
  <c r="AI95" i="1"/>
  <c r="AG95" i="1"/>
  <c r="AG99" i="1"/>
  <c r="AI99" i="1"/>
  <c r="AG103" i="1"/>
  <c r="AI103" i="1"/>
  <c r="AI108" i="1"/>
  <c r="AG108" i="1"/>
  <c r="AI114" i="1"/>
  <c r="AG114" i="1"/>
  <c r="AI118" i="1"/>
  <c r="AG118" i="1"/>
  <c r="AI122" i="1"/>
  <c r="AG122" i="1"/>
  <c r="AI126" i="1"/>
  <c r="AG126" i="1"/>
  <c r="AI137" i="1"/>
  <c r="AG137" i="1"/>
  <c r="AI150" i="1"/>
  <c r="AG150" i="1"/>
  <c r="AI155" i="1"/>
  <c r="AG155" i="1"/>
  <c r="AM154" i="1"/>
  <c r="AO154" i="1" s="1"/>
  <c r="AQ154" i="1" s="1"/>
  <c r="AS154" i="1" s="1"/>
  <c r="AU154" i="1" s="1"/>
  <c r="AW154" i="1" s="1"/>
  <c r="AY154" i="1" s="1"/>
  <c r="BA154" i="1" s="1"/>
  <c r="BC154" i="1" s="1"/>
  <c r="BE98" i="1"/>
  <c r="BE32" i="1"/>
  <c r="BE115" i="1"/>
  <c r="BE57" i="1"/>
  <c r="BE151" i="1"/>
  <c r="AK78" i="1"/>
  <c r="AM78" i="1" s="1"/>
  <c r="AO78" i="1" s="1"/>
  <c r="AQ78" i="1" s="1"/>
  <c r="AS78" i="1" s="1"/>
  <c r="AU78" i="1" s="1"/>
  <c r="AW78" i="1" s="1"/>
  <c r="AY78" i="1" s="1"/>
  <c r="BA78" i="1" s="1"/>
  <c r="BC78" i="1" s="1"/>
  <c r="AK126" i="1"/>
  <c r="AM126" i="1" s="1"/>
  <c r="AO126" i="1" s="1"/>
  <c r="AQ126" i="1" s="1"/>
  <c r="AS126" i="1" s="1"/>
  <c r="AU126" i="1" s="1"/>
  <c r="AW126" i="1" s="1"/>
  <c r="AY126" i="1" s="1"/>
  <c r="BA126" i="1" s="1"/>
  <c r="BC126" i="1" s="1"/>
  <c r="AK101" i="1"/>
  <c r="AM101" i="1" s="1"/>
  <c r="AO101" i="1" s="1"/>
  <c r="AQ101" i="1" s="1"/>
  <c r="AS101" i="1" s="1"/>
  <c r="AU101" i="1" s="1"/>
  <c r="AW101" i="1" s="1"/>
  <c r="AY101" i="1" s="1"/>
  <c r="BA101" i="1" s="1"/>
  <c r="BC101" i="1" s="1"/>
  <c r="AK71" i="1"/>
  <c r="AM71" i="1" s="1"/>
  <c r="AO71" i="1" s="1"/>
  <c r="AQ71" i="1" s="1"/>
  <c r="AS71" i="1" s="1"/>
  <c r="AU71" i="1" s="1"/>
  <c r="AW71" i="1" s="1"/>
  <c r="AY71" i="1" s="1"/>
  <c r="BA71" i="1" s="1"/>
  <c r="BC71" i="1" s="1"/>
  <c r="AK45" i="1"/>
  <c r="AM45" i="1" s="1"/>
  <c r="AO45" i="1" s="1"/>
  <c r="AK139" i="1"/>
  <c r="AM139" i="1" s="1"/>
  <c r="AO139" i="1" s="1"/>
  <c r="AQ139" i="1" s="1"/>
  <c r="AS139" i="1" s="1"/>
  <c r="AU139" i="1" s="1"/>
  <c r="AW139" i="1" s="1"/>
  <c r="AY139" i="1" s="1"/>
  <c r="BA139" i="1" s="1"/>
  <c r="BC139" i="1" s="1"/>
  <c r="AK117" i="1"/>
  <c r="AM117" i="1" s="1"/>
  <c r="AO117" i="1" s="1"/>
  <c r="AQ117" i="1" s="1"/>
  <c r="AS117" i="1" s="1"/>
  <c r="AU117" i="1" s="1"/>
  <c r="AW117" i="1" s="1"/>
  <c r="AY117" i="1" s="1"/>
  <c r="BA117" i="1" s="1"/>
  <c r="BC117" i="1" s="1"/>
  <c r="AK81" i="1"/>
  <c r="AK108" i="1"/>
  <c r="AM108" i="1" s="1"/>
  <c r="AO108" i="1" s="1"/>
  <c r="AQ108" i="1" s="1"/>
  <c r="AS108" i="1" s="1"/>
  <c r="AU108" i="1" s="1"/>
  <c r="AW108" i="1" s="1"/>
  <c r="AY108" i="1" s="1"/>
  <c r="BA108" i="1" s="1"/>
  <c r="BC108" i="1" s="1"/>
  <c r="AK91" i="1"/>
  <c r="AM91" i="1" s="1"/>
  <c r="AO91" i="1" s="1"/>
  <c r="AQ91" i="1" s="1"/>
  <c r="AS91" i="1" s="1"/>
  <c r="AU91" i="1" s="1"/>
  <c r="AW91" i="1" s="1"/>
  <c r="AY91" i="1" s="1"/>
  <c r="BA91" i="1" s="1"/>
  <c r="BC91" i="1" s="1"/>
  <c r="AK65" i="1"/>
  <c r="AM65" i="1" s="1"/>
  <c r="AO65" i="1" s="1"/>
  <c r="AK19" i="1"/>
  <c r="AM19" i="1" s="1"/>
  <c r="AO19" i="1" s="1"/>
  <c r="AQ19" i="1" s="1"/>
  <c r="AS19" i="1" s="1"/>
  <c r="AU19" i="1" s="1"/>
  <c r="AW19" i="1" s="1"/>
  <c r="AY19" i="1" s="1"/>
  <c r="BA19" i="1" s="1"/>
  <c r="BC19" i="1" s="1"/>
  <c r="AK137" i="1"/>
  <c r="AM137" i="1" s="1"/>
  <c r="AO137" i="1" s="1"/>
  <c r="AQ137" i="1" s="1"/>
  <c r="AS137" i="1" s="1"/>
  <c r="AU137" i="1" s="1"/>
  <c r="AW137" i="1" s="1"/>
  <c r="AY137" i="1" s="1"/>
  <c r="BA137" i="1" s="1"/>
  <c r="BC137" i="1" s="1"/>
  <c r="AG68" i="1"/>
  <c r="AI13" i="1"/>
  <c r="AG13" i="1"/>
  <c r="AI22" i="1"/>
  <c r="AG22" i="1"/>
  <c r="AI55" i="1"/>
  <c r="AG55" i="1"/>
  <c r="AI69" i="1"/>
  <c r="AG69" i="1"/>
  <c r="AI74" i="1"/>
  <c r="AG74" i="1"/>
  <c r="AI87" i="1"/>
  <c r="AG87" i="1"/>
  <c r="AG97" i="1"/>
  <c r="AI97" i="1"/>
  <c r="AG106" i="1"/>
  <c r="AI106" i="1"/>
  <c r="AI120" i="1"/>
  <c r="AG120" i="1"/>
  <c r="AG135" i="1"/>
  <c r="AI135" i="1"/>
  <c r="AG148" i="1"/>
  <c r="AI148" i="1"/>
  <c r="AK148" i="1" s="1"/>
  <c r="AM148" i="1" s="1"/>
  <c r="AO148" i="1" s="1"/>
  <c r="AQ148" i="1" s="1"/>
  <c r="AS148" i="1" s="1"/>
  <c r="AU148" i="1" s="1"/>
  <c r="AW148" i="1" s="1"/>
  <c r="AY148" i="1" s="1"/>
  <c r="BA148" i="1" s="1"/>
  <c r="BC148" i="1" s="1"/>
  <c r="AG11" i="1"/>
  <c r="AI11" i="1"/>
  <c r="AK11" i="1" s="1"/>
  <c r="AM11" i="1" s="1"/>
  <c r="AO11" i="1" s="1"/>
  <c r="AQ11" i="1" s="1"/>
  <c r="AS11" i="1" s="1"/>
  <c r="AU11" i="1" s="1"/>
  <c r="AW11" i="1" s="1"/>
  <c r="AY11" i="1" s="1"/>
  <c r="BA11" i="1" s="1"/>
  <c r="BC11" i="1" s="1"/>
  <c r="AG17" i="1"/>
  <c r="AI17" i="1"/>
  <c r="AG21" i="1"/>
  <c r="AI21" i="1"/>
  <c r="AI26" i="1"/>
  <c r="AK26" i="1" s="1"/>
  <c r="AM26" i="1" s="1"/>
  <c r="AO26" i="1" s="1"/>
  <c r="AQ26" i="1" s="1"/>
  <c r="AS26" i="1" s="1"/>
  <c r="AU26" i="1" s="1"/>
  <c r="AW26" i="1" s="1"/>
  <c r="AY26" i="1" s="1"/>
  <c r="BA26" i="1" s="1"/>
  <c r="BC26" i="1" s="1"/>
  <c r="AG26" i="1"/>
  <c r="AG33" i="1"/>
  <c r="AI33" i="1"/>
  <c r="AG38" i="1"/>
  <c r="AI38" i="1"/>
  <c r="AI54" i="1"/>
  <c r="AG54" i="1"/>
  <c r="AI58" i="1"/>
  <c r="AG58" i="1"/>
  <c r="AA62" i="1"/>
  <c r="AI63" i="1"/>
  <c r="AG63" i="1"/>
  <c r="AI73" i="1"/>
  <c r="AG73" i="1"/>
  <c r="AI82" i="1"/>
  <c r="AK82" i="1" s="1"/>
  <c r="AM82" i="1" s="1"/>
  <c r="AO82" i="1" s="1"/>
  <c r="AQ82" i="1" s="1"/>
  <c r="AS82" i="1" s="1"/>
  <c r="AU82" i="1" s="1"/>
  <c r="AW82" i="1" s="1"/>
  <c r="AY82" i="1" s="1"/>
  <c r="BA82" i="1" s="1"/>
  <c r="BC82" i="1" s="1"/>
  <c r="AG82" i="1"/>
  <c r="AI86" i="1"/>
  <c r="AK86" i="1" s="1"/>
  <c r="AM86" i="1" s="1"/>
  <c r="AO86" i="1" s="1"/>
  <c r="AQ86" i="1" s="1"/>
  <c r="AS86" i="1" s="1"/>
  <c r="AU86" i="1" s="1"/>
  <c r="AW86" i="1" s="1"/>
  <c r="AY86" i="1" s="1"/>
  <c r="BA86" i="1" s="1"/>
  <c r="BC86" i="1" s="1"/>
  <c r="AG86" i="1"/>
  <c r="AG92" i="1"/>
  <c r="AI92" i="1"/>
  <c r="AI96" i="1"/>
  <c r="AG96" i="1"/>
  <c r="AI100" i="1"/>
  <c r="AG100" i="1"/>
  <c r="AI105" i="1"/>
  <c r="AG105" i="1"/>
  <c r="AI115" i="1"/>
  <c r="AK115" i="1" s="1"/>
  <c r="AM115" i="1" s="1"/>
  <c r="AO115" i="1" s="1"/>
  <c r="AQ115" i="1" s="1"/>
  <c r="AS115" i="1" s="1"/>
  <c r="AU115" i="1" s="1"/>
  <c r="AW115" i="1" s="1"/>
  <c r="AY115" i="1" s="1"/>
  <c r="BA115" i="1" s="1"/>
  <c r="BC115" i="1" s="1"/>
  <c r="AG115" i="1"/>
  <c r="AI119" i="1"/>
  <c r="AK119" i="1" s="1"/>
  <c r="AM119" i="1" s="1"/>
  <c r="AO119" i="1" s="1"/>
  <c r="AQ119" i="1" s="1"/>
  <c r="AS119" i="1" s="1"/>
  <c r="AU119" i="1" s="1"/>
  <c r="AW119" i="1" s="1"/>
  <c r="AY119" i="1" s="1"/>
  <c r="BA119" i="1" s="1"/>
  <c r="BC119" i="1" s="1"/>
  <c r="AG119" i="1"/>
  <c r="AI123" i="1"/>
  <c r="AK123" i="1" s="1"/>
  <c r="AM123" i="1" s="1"/>
  <c r="AO123" i="1" s="1"/>
  <c r="AQ123" i="1" s="1"/>
  <c r="AS123" i="1" s="1"/>
  <c r="AU123" i="1" s="1"/>
  <c r="AW123" i="1" s="1"/>
  <c r="AY123" i="1" s="1"/>
  <c r="BA123" i="1" s="1"/>
  <c r="BC123" i="1" s="1"/>
  <c r="AG123" i="1"/>
  <c r="AI127" i="1"/>
  <c r="AK127" i="1" s="1"/>
  <c r="AM127" i="1" s="1"/>
  <c r="AO127" i="1" s="1"/>
  <c r="AQ127" i="1" s="1"/>
  <c r="AS127" i="1" s="1"/>
  <c r="AU127" i="1" s="1"/>
  <c r="AW127" i="1" s="1"/>
  <c r="AY127" i="1" s="1"/>
  <c r="BA127" i="1" s="1"/>
  <c r="BC127" i="1" s="1"/>
  <c r="AG127" i="1"/>
  <c r="AG138" i="1"/>
  <c r="AI138" i="1"/>
  <c r="AI147" i="1"/>
  <c r="AG147" i="1"/>
  <c r="AI151" i="1"/>
  <c r="AK151" i="1" s="1"/>
  <c r="AM151" i="1" s="1"/>
  <c r="AO151" i="1" s="1"/>
  <c r="AQ151" i="1" s="1"/>
  <c r="AS151" i="1" s="1"/>
  <c r="AU151" i="1" s="1"/>
  <c r="AW151" i="1" s="1"/>
  <c r="AY151" i="1" s="1"/>
  <c r="BA151" i="1" s="1"/>
  <c r="BC151" i="1" s="1"/>
  <c r="AG151" i="1"/>
  <c r="AI112" i="1"/>
  <c r="AK112" i="1" s="1"/>
  <c r="AI24" i="1"/>
  <c r="AK105" i="1"/>
  <c r="BE11" i="1"/>
  <c r="BE94" i="1"/>
  <c r="BE77" i="1"/>
  <c r="BE127" i="1"/>
  <c r="BE86" i="1"/>
  <c r="BE53" i="1"/>
  <c r="AK124" i="1"/>
  <c r="AM124" i="1" s="1"/>
  <c r="AO124" i="1" s="1"/>
  <c r="AQ124" i="1" s="1"/>
  <c r="AS124" i="1" s="1"/>
  <c r="AU124" i="1" s="1"/>
  <c r="AW124" i="1" s="1"/>
  <c r="AY124" i="1" s="1"/>
  <c r="BA124" i="1" s="1"/>
  <c r="BC124" i="1" s="1"/>
  <c r="BE148" i="1"/>
  <c r="AK118" i="1"/>
  <c r="AM118" i="1" s="1"/>
  <c r="AO118" i="1" s="1"/>
  <c r="AQ118" i="1" s="1"/>
  <c r="AS118" i="1" s="1"/>
  <c r="AU118" i="1" s="1"/>
  <c r="AW118" i="1" s="1"/>
  <c r="AY118" i="1" s="1"/>
  <c r="BA118" i="1" s="1"/>
  <c r="BC118" i="1" s="1"/>
  <c r="AK74" i="1"/>
  <c r="AM74" i="1" s="1"/>
  <c r="AO74" i="1" s="1"/>
  <c r="AQ74" i="1" s="1"/>
  <c r="AS74" i="1" s="1"/>
  <c r="AU74" i="1" s="1"/>
  <c r="AW74" i="1" s="1"/>
  <c r="AY74" i="1" s="1"/>
  <c r="BA74" i="1" s="1"/>
  <c r="BC74" i="1" s="1"/>
  <c r="AK153" i="1"/>
  <c r="AM153" i="1" s="1"/>
  <c r="AK122" i="1"/>
  <c r="AM122" i="1" s="1"/>
  <c r="AO122" i="1" s="1"/>
  <c r="AQ122" i="1" s="1"/>
  <c r="AS122" i="1" s="1"/>
  <c r="AU122" i="1" s="1"/>
  <c r="AW122" i="1" s="1"/>
  <c r="AY122" i="1" s="1"/>
  <c r="BA122" i="1" s="1"/>
  <c r="BC122" i="1" s="1"/>
  <c r="AK97" i="1"/>
  <c r="AM97" i="1" s="1"/>
  <c r="AO97" i="1" s="1"/>
  <c r="AQ97" i="1" s="1"/>
  <c r="AS97" i="1" s="1"/>
  <c r="AU97" i="1" s="1"/>
  <c r="AW97" i="1" s="1"/>
  <c r="AY97" i="1" s="1"/>
  <c r="BA97" i="1" s="1"/>
  <c r="BC97" i="1" s="1"/>
  <c r="AK67" i="1"/>
  <c r="AM67" i="1" s="1"/>
  <c r="AO67" i="1" s="1"/>
  <c r="AQ67" i="1" s="1"/>
  <c r="AS67" i="1" s="1"/>
  <c r="AU67" i="1" s="1"/>
  <c r="AW67" i="1" s="1"/>
  <c r="AY67" i="1" s="1"/>
  <c r="BA67" i="1" s="1"/>
  <c r="BC67" i="1" s="1"/>
  <c r="AK38" i="1"/>
  <c r="AM38" i="1" s="1"/>
  <c r="AO38" i="1" s="1"/>
  <c r="AQ38" i="1" s="1"/>
  <c r="AS38" i="1" s="1"/>
  <c r="AU38" i="1" s="1"/>
  <c r="AW38" i="1" s="1"/>
  <c r="AY38" i="1" s="1"/>
  <c r="BA38" i="1" s="1"/>
  <c r="BC38" i="1" s="1"/>
  <c r="AK59" i="1"/>
  <c r="AM59" i="1" s="1"/>
  <c r="AO59" i="1" s="1"/>
  <c r="AQ59" i="1" s="1"/>
  <c r="AS59" i="1" s="1"/>
  <c r="AU59" i="1" s="1"/>
  <c r="AW59" i="1" s="1"/>
  <c r="AY59" i="1" s="1"/>
  <c r="BA59" i="1" s="1"/>
  <c r="BC59" i="1" s="1"/>
  <c r="AK135" i="1"/>
  <c r="AM135" i="1" s="1"/>
  <c r="AO135" i="1" s="1"/>
  <c r="AQ135" i="1" s="1"/>
  <c r="AS135" i="1" s="1"/>
  <c r="AU135" i="1" s="1"/>
  <c r="AW135" i="1" s="1"/>
  <c r="AY135" i="1" s="1"/>
  <c r="BA135" i="1" s="1"/>
  <c r="BC135" i="1" s="1"/>
  <c r="AK113" i="1"/>
  <c r="AM113" i="1" s="1"/>
  <c r="AO113" i="1" s="1"/>
  <c r="AQ113" i="1" s="1"/>
  <c r="AS113" i="1" s="1"/>
  <c r="AU113" i="1" s="1"/>
  <c r="AW113" i="1" s="1"/>
  <c r="AY113" i="1" s="1"/>
  <c r="BA113" i="1" s="1"/>
  <c r="BC113" i="1" s="1"/>
  <c r="AK92" i="1"/>
  <c r="AM92" i="1" s="1"/>
  <c r="AO92" i="1" s="1"/>
  <c r="AQ92" i="1" s="1"/>
  <c r="AS92" i="1" s="1"/>
  <c r="AU92" i="1" s="1"/>
  <c r="AW92" i="1" s="1"/>
  <c r="AY92" i="1" s="1"/>
  <c r="BA92" i="1" s="1"/>
  <c r="BC92" i="1" s="1"/>
  <c r="AK75" i="1"/>
  <c r="AM75" i="1" s="1"/>
  <c r="AO75" i="1" s="1"/>
  <c r="AQ75" i="1" s="1"/>
  <c r="AS75" i="1" s="1"/>
  <c r="AU75" i="1" s="1"/>
  <c r="AW75" i="1" s="1"/>
  <c r="AY75" i="1" s="1"/>
  <c r="BA75" i="1" s="1"/>
  <c r="BC75" i="1" s="1"/>
  <c r="AK73" i="1"/>
  <c r="AK55" i="1"/>
  <c r="AM55" i="1" s="1"/>
  <c r="AO55" i="1" s="1"/>
  <c r="AQ55" i="1" s="1"/>
  <c r="AS55" i="1" s="1"/>
  <c r="AU55" i="1" s="1"/>
  <c r="AW55" i="1" s="1"/>
  <c r="AY55" i="1" s="1"/>
  <c r="BA55" i="1" s="1"/>
  <c r="BC55" i="1" s="1"/>
  <c r="AK155" i="1"/>
  <c r="AM155" i="1" s="1"/>
  <c r="AO155" i="1" s="1"/>
  <c r="AQ155" i="1" s="1"/>
  <c r="AS155" i="1" s="1"/>
  <c r="AU155" i="1" s="1"/>
  <c r="AW155" i="1" s="1"/>
  <c r="AY155" i="1" s="1"/>
  <c r="BA155" i="1" s="1"/>
  <c r="BC155" i="1" s="1"/>
  <c r="AK103" i="1"/>
  <c r="AM103" i="1" s="1"/>
  <c r="AO103" i="1" s="1"/>
  <c r="AQ103" i="1" s="1"/>
  <c r="AS103" i="1" s="1"/>
  <c r="AU103" i="1" s="1"/>
  <c r="AW103" i="1" s="1"/>
  <c r="AY103" i="1" s="1"/>
  <c r="BA103" i="1" s="1"/>
  <c r="BC103" i="1" s="1"/>
  <c r="AK84" i="1"/>
  <c r="AM84" i="1" s="1"/>
  <c r="AO84" i="1" s="1"/>
  <c r="AQ84" i="1" s="1"/>
  <c r="AS84" i="1" s="1"/>
  <c r="AU84" i="1" s="1"/>
  <c r="AW84" i="1" s="1"/>
  <c r="AY84" i="1" s="1"/>
  <c r="BA84" i="1" s="1"/>
  <c r="BC84" i="1" s="1"/>
  <c r="AK60" i="1"/>
  <c r="AM60" i="1" s="1"/>
  <c r="AO60" i="1" s="1"/>
  <c r="AQ60" i="1" s="1"/>
  <c r="AS60" i="1" s="1"/>
  <c r="AU60" i="1" s="1"/>
  <c r="AW60" i="1" s="1"/>
  <c r="AY60" i="1" s="1"/>
  <c r="BA60" i="1" s="1"/>
  <c r="BC60" i="1" s="1"/>
  <c r="AK154" i="1"/>
  <c r="AK107" i="1"/>
  <c r="AM107" i="1" s="1"/>
  <c r="AO107" i="1" s="1"/>
  <c r="AQ107" i="1" s="1"/>
  <c r="AS107" i="1" s="1"/>
  <c r="AU107" i="1" s="1"/>
  <c r="AW107" i="1" s="1"/>
  <c r="AY107" i="1" s="1"/>
  <c r="BA107" i="1" s="1"/>
  <c r="BC107" i="1" s="1"/>
  <c r="BD124" i="1"/>
  <c r="BE124" i="1" s="1"/>
  <c r="BD78" i="1"/>
  <c r="BE78" i="1" s="1"/>
  <c r="BD85" i="1"/>
  <c r="BE85" i="1" s="1"/>
  <c r="BD138" i="1"/>
  <c r="BE138" i="1" s="1"/>
  <c r="BD101" i="1"/>
  <c r="BE101" i="1" s="1"/>
  <c r="BD149" i="1"/>
  <c r="BE149" i="1" s="1"/>
  <c r="BD139" i="1"/>
  <c r="BE139" i="1" s="1"/>
  <c r="BD22" i="1"/>
  <c r="BE22" i="1" s="1"/>
  <c r="BD83" i="1"/>
  <c r="BE83" i="1" s="1"/>
  <c r="BD74" i="1"/>
  <c r="BE74" i="1" s="1"/>
  <c r="BD93" i="1"/>
  <c r="BE93" i="1" s="1"/>
  <c r="BD117" i="1"/>
  <c r="BE117" i="1" s="1"/>
  <c r="AF47" i="1"/>
  <c r="BD154" i="1"/>
  <c r="BE154" i="1" s="1"/>
  <c r="BD150" i="1"/>
  <c r="BE150" i="1" s="1"/>
  <c r="BD137" i="1"/>
  <c r="BE137" i="1" s="1"/>
  <c r="BD114" i="1"/>
  <c r="BE114" i="1" s="1"/>
  <c r="BD125" i="1"/>
  <c r="BE125" i="1" s="1"/>
  <c r="BD116" i="1"/>
  <c r="BE116" i="1" s="1"/>
  <c r="BD118" i="1"/>
  <c r="BE118" i="1" s="1"/>
  <c r="BD126" i="1"/>
  <c r="BE126" i="1" s="1"/>
  <c r="BD95" i="1"/>
  <c r="BE95" i="1" s="1"/>
  <c r="BD96" i="1"/>
  <c r="BE96" i="1" s="1"/>
  <c r="BD103" i="1"/>
  <c r="BE103" i="1" s="1"/>
  <c r="BD84" i="1"/>
  <c r="BE84" i="1" s="1"/>
  <c r="BD70" i="1"/>
  <c r="BE70" i="1" s="1"/>
  <c r="BD71" i="1"/>
  <c r="BE71" i="1" s="1"/>
  <c r="BD68" i="1"/>
  <c r="BE68" i="1" s="1"/>
  <c r="BD58" i="1"/>
  <c r="BE58" i="1" s="1"/>
  <c r="AQ45" i="1"/>
  <c r="AS45" i="1" s="1"/>
  <c r="AU45" i="1" s="1"/>
  <c r="AW45" i="1" s="1"/>
  <c r="AY45" i="1" s="1"/>
  <c r="BA45" i="1" s="1"/>
  <c r="BC45" i="1" s="1"/>
  <c r="BD46" i="1"/>
  <c r="BE46" i="1" s="1"/>
  <c r="AM29" i="1"/>
  <c r="BD27" i="1"/>
  <c r="BE27" i="1" s="1"/>
  <c r="BD19" i="1"/>
  <c r="BE19" i="1" s="1"/>
  <c r="AM44" i="1"/>
  <c r="AO44" i="1" s="1"/>
  <c r="AM63" i="1"/>
  <c r="AM62" i="1"/>
  <c r="AK24" i="1"/>
  <c r="AM81" i="1"/>
  <c r="AM31" i="1"/>
  <c r="BD13" i="1"/>
  <c r="BE13" i="1" s="1"/>
  <c r="BD87" i="1"/>
  <c r="BE87" i="1" s="1"/>
  <c r="BD41" i="1"/>
  <c r="BE41" i="1" s="1"/>
  <c r="BD75" i="1"/>
  <c r="BE75" i="1" s="1"/>
  <c r="BD55" i="1"/>
  <c r="BE55" i="1" s="1"/>
  <c r="BD33" i="1"/>
  <c r="BE33" i="1" s="1"/>
  <c r="BD155" i="1"/>
  <c r="BE155" i="1" s="1"/>
  <c r="AM147" i="1"/>
  <c r="BD56" i="1"/>
  <c r="BE56" i="1" s="1"/>
  <c r="AK90" i="1"/>
  <c r="AM105" i="1"/>
  <c r="AK15" i="1"/>
  <c r="AK50" i="1"/>
  <c r="AM50" i="1" s="1"/>
  <c r="AK18" i="1"/>
  <c r="AM18" i="1" s="1"/>
  <c r="AO18" i="1" s="1"/>
  <c r="AQ18" i="1" s="1"/>
  <c r="AS18" i="1" s="1"/>
  <c r="AU18" i="1" s="1"/>
  <c r="AW18" i="1" s="1"/>
  <c r="AY18" i="1" s="1"/>
  <c r="BA18" i="1" s="1"/>
  <c r="BC18" i="1" s="1"/>
  <c r="AM112" i="1"/>
  <c r="AM66" i="1"/>
  <c r="AO36" i="1"/>
  <c r="BD120" i="1"/>
  <c r="BE120" i="1" s="1"/>
  <c r="BD140" i="1"/>
  <c r="BD136" i="1"/>
  <c r="BE136" i="1" s="1"/>
  <c r="BD122" i="1"/>
  <c r="BE122" i="1" s="1"/>
  <c r="BD106" i="1"/>
  <c r="BE106" i="1" s="1"/>
  <c r="BD97" i="1"/>
  <c r="BE97" i="1" s="1"/>
  <c r="BD76" i="1"/>
  <c r="BE76" i="1" s="1"/>
  <c r="BD67" i="1"/>
  <c r="BE67" i="1" s="1"/>
  <c r="BD54" i="1"/>
  <c r="BE54" i="1" s="1"/>
  <c r="BD38" i="1"/>
  <c r="BE38" i="1" s="1"/>
  <c r="BD21" i="1"/>
  <c r="BE21" i="1" s="1"/>
  <c r="BD59" i="1"/>
  <c r="BE59" i="1" s="1"/>
  <c r="BD17" i="1"/>
  <c r="BE17" i="1" s="1"/>
  <c r="BD135" i="1"/>
  <c r="BE135" i="1" s="1"/>
  <c r="BD121" i="1"/>
  <c r="BE121" i="1" s="1"/>
  <c r="BD113" i="1"/>
  <c r="BE113" i="1" s="1"/>
  <c r="BD100" i="1"/>
  <c r="BE100" i="1" s="1"/>
  <c r="BD92" i="1"/>
  <c r="BE92" i="1" s="1"/>
  <c r="BD108" i="1"/>
  <c r="BE108" i="1" s="1"/>
  <c r="BD99" i="1"/>
  <c r="BE99" i="1" s="1"/>
  <c r="BD91" i="1"/>
  <c r="BE91" i="1" s="1"/>
  <c r="BD69" i="1"/>
  <c r="BE69" i="1" s="1"/>
  <c r="AQ65" i="1"/>
  <c r="BD25" i="1"/>
  <c r="BE25" i="1" s="1"/>
  <c r="BD141" i="1"/>
  <c r="BE141" i="1" s="1"/>
  <c r="BD107" i="1"/>
  <c r="BE107" i="1" s="1"/>
  <c r="AO153" i="1"/>
  <c r="AM73" i="1"/>
  <c r="BD60" i="1"/>
  <c r="BE60" i="1" s="1"/>
  <c r="BD52" i="1"/>
  <c r="BE52" i="1" s="1"/>
  <c r="AF6" i="1"/>
  <c r="AA72" i="1"/>
  <c r="AA104" i="1"/>
  <c r="AM104" i="1" s="1"/>
  <c r="AA42" i="1"/>
  <c r="AM42" i="1" s="1"/>
  <c r="AA146" i="1"/>
  <c r="AA14" i="1"/>
  <c r="AK14" i="1" s="1"/>
  <c r="AA23" i="1"/>
  <c r="AK23" i="1" s="1"/>
  <c r="AA64" i="1"/>
  <c r="AA152" i="1"/>
  <c r="AO152" i="1" s="1"/>
  <c r="AA30" i="1"/>
  <c r="AM30" i="1" s="1"/>
  <c r="AA35" i="1"/>
  <c r="AM35" i="1" s="1"/>
  <c r="AA79" i="1"/>
  <c r="AA89" i="1"/>
  <c r="AI89" i="1" s="1"/>
  <c r="AA111" i="1"/>
  <c r="AI111" i="1" s="1"/>
  <c r="AA49" i="1"/>
  <c r="AG49" i="1" s="1"/>
  <c r="P148" i="1"/>
  <c r="AB148" i="1" s="1"/>
  <c r="P131" i="1"/>
  <c r="AB131" i="1" s="1"/>
  <c r="P136" i="1"/>
  <c r="Q136" i="1" s="1"/>
  <c r="P114" i="1"/>
  <c r="Q114" i="1" s="1"/>
  <c r="P119" i="1"/>
  <c r="Q119" i="1" s="1"/>
  <c r="P113" i="1"/>
  <c r="Q113" i="1" s="1"/>
  <c r="P125" i="1"/>
  <c r="Q125" i="1" s="1"/>
  <c r="P53" i="1"/>
  <c r="Q53" i="1" s="1"/>
  <c r="P58" i="1"/>
  <c r="Q58" i="1" s="1"/>
  <c r="P60" i="1"/>
  <c r="Q60" i="1" s="1"/>
  <c r="P57" i="1"/>
  <c r="P55" i="1"/>
  <c r="Q55" i="1" s="1"/>
  <c r="P50" i="1"/>
  <c r="Q50" i="1" s="1"/>
  <c r="P83" i="1"/>
  <c r="AB83" i="1" s="1"/>
  <c r="P85" i="1"/>
  <c r="AB85" i="1" s="1"/>
  <c r="P68" i="1"/>
  <c r="Q68" i="1" s="1"/>
  <c r="P78" i="1"/>
  <c r="Q78" i="1" s="1"/>
  <c r="P29" i="1"/>
  <c r="AB29" i="1" s="1"/>
  <c r="P24" i="1"/>
  <c r="Q24" i="1" s="1"/>
  <c r="P25" i="1"/>
  <c r="Q25" i="1" s="1"/>
  <c r="P33" i="1"/>
  <c r="Q33" i="1" s="1"/>
  <c r="Q155" i="1"/>
  <c r="Q154" i="1"/>
  <c r="Q153" i="1"/>
  <c r="Q151" i="1"/>
  <c r="Q150" i="1"/>
  <c r="Q149" i="1"/>
  <c r="Q147" i="1"/>
  <c r="Q144" i="1"/>
  <c r="Q141" i="1"/>
  <c r="Q140" i="1"/>
  <c r="Q139" i="1"/>
  <c r="Q138" i="1"/>
  <c r="Q137" i="1"/>
  <c r="Q135" i="1"/>
  <c r="Q134" i="1"/>
  <c r="Q133" i="1"/>
  <c r="Q132" i="1"/>
  <c r="Q130" i="1"/>
  <c r="Q127" i="1"/>
  <c r="Q126" i="1"/>
  <c r="Q124" i="1"/>
  <c r="Q123" i="1"/>
  <c r="Q122" i="1"/>
  <c r="Q121" i="1"/>
  <c r="Q120" i="1"/>
  <c r="Q118" i="1"/>
  <c r="Q117" i="1"/>
  <c r="Q116" i="1"/>
  <c r="Q115" i="1"/>
  <c r="Q112" i="1"/>
  <c r="Q109" i="1"/>
  <c r="Q108" i="1"/>
  <c r="Q107" i="1"/>
  <c r="Q106" i="1"/>
  <c r="Q105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7" i="1"/>
  <c r="Q86" i="1"/>
  <c r="Q84" i="1"/>
  <c r="Q82" i="1"/>
  <c r="Q81" i="1"/>
  <c r="Q80" i="1"/>
  <c r="Q77" i="1"/>
  <c r="Q76" i="1"/>
  <c r="Q75" i="1"/>
  <c r="Q74" i="1"/>
  <c r="Q73" i="1"/>
  <c r="Q71" i="1"/>
  <c r="Q70" i="1"/>
  <c r="Q69" i="1"/>
  <c r="Q67" i="1"/>
  <c r="Q66" i="1"/>
  <c r="Q65" i="1"/>
  <c r="Q63" i="1"/>
  <c r="Q61" i="1"/>
  <c r="Q59" i="1"/>
  <c r="Q57" i="1"/>
  <c r="Q56" i="1"/>
  <c r="Q54" i="1"/>
  <c r="Q52" i="1"/>
  <c r="Q51" i="1"/>
  <c r="Q46" i="1"/>
  <c r="Q45" i="1"/>
  <c r="Q44" i="1"/>
  <c r="Q43" i="1"/>
  <c r="Q41" i="1"/>
  <c r="Q40" i="1"/>
  <c r="Q39" i="1"/>
  <c r="Q38" i="1"/>
  <c r="Q37" i="1"/>
  <c r="Q36" i="1"/>
  <c r="Q34" i="1"/>
  <c r="Q32" i="1"/>
  <c r="Q31" i="1"/>
  <c r="Q27" i="1"/>
  <c r="Q26" i="1"/>
  <c r="Q22" i="1"/>
  <c r="Q21" i="1"/>
  <c r="Q20" i="1"/>
  <c r="Q19" i="1"/>
  <c r="Q18" i="1"/>
  <c r="Q17" i="1"/>
  <c r="Q16" i="1"/>
  <c r="Q15" i="1"/>
  <c r="Q12" i="1"/>
  <c r="Q11" i="1"/>
  <c r="Q85" i="1" l="1"/>
  <c r="AI79" i="1"/>
  <c r="AG79" i="1"/>
  <c r="AK79" i="1"/>
  <c r="AI64" i="1"/>
  <c r="AG64" i="1"/>
  <c r="AK64" i="1"/>
  <c r="C15" i="3"/>
  <c r="AI42" i="1"/>
  <c r="AG42" i="1"/>
  <c r="AK42" i="1"/>
  <c r="AM79" i="1"/>
  <c r="C18" i="3"/>
  <c r="AI28" i="1"/>
  <c r="AK28" i="1"/>
  <c r="AG28" i="1"/>
  <c r="G10" i="3"/>
  <c r="AI152" i="1"/>
  <c r="AG152" i="1"/>
  <c r="AK152" i="1"/>
  <c r="C13" i="3"/>
  <c r="AG23" i="1"/>
  <c r="AI23" i="1"/>
  <c r="AM64" i="1"/>
  <c r="AG62" i="1"/>
  <c r="AI62" i="1"/>
  <c r="AK62" i="1"/>
  <c r="AA88" i="1"/>
  <c r="AG89" i="1"/>
  <c r="AA145" i="1"/>
  <c r="AG146" i="1"/>
  <c r="AM152" i="1"/>
  <c r="C14" i="3"/>
  <c r="AG35" i="1"/>
  <c r="AK35" i="1"/>
  <c r="AI35" i="1"/>
  <c r="G11" i="3"/>
  <c r="AI104" i="1"/>
  <c r="AG104" i="1"/>
  <c r="AK104" i="1"/>
  <c r="AA110" i="1"/>
  <c r="AK110" i="1" s="1"/>
  <c r="AG111" i="1"/>
  <c r="AK30" i="1"/>
  <c r="AI30" i="1"/>
  <c r="AG30" i="1"/>
  <c r="D8" i="3"/>
  <c r="AG14" i="1"/>
  <c r="AI14" i="1"/>
  <c r="AK72" i="1"/>
  <c r="AI72" i="1"/>
  <c r="AI146" i="1"/>
  <c r="AM72" i="1"/>
  <c r="AI49" i="1"/>
  <c r="AK146" i="1"/>
  <c r="AO35" i="1"/>
  <c r="AG72" i="1"/>
  <c r="BD45" i="1"/>
  <c r="BE45" i="1" s="1"/>
  <c r="AO28" i="1"/>
  <c r="AO29" i="1"/>
  <c r="AK49" i="1"/>
  <c r="AO147" i="1"/>
  <c r="AO66" i="1"/>
  <c r="AO64" i="1"/>
  <c r="AO30" i="1"/>
  <c r="AO31" i="1"/>
  <c r="AM24" i="1"/>
  <c r="AM23" i="1"/>
  <c r="AM49" i="1"/>
  <c r="AQ42" i="1"/>
  <c r="AQ44" i="1"/>
  <c r="AQ36" i="1"/>
  <c r="AQ35" i="1"/>
  <c r="AM15" i="1"/>
  <c r="AK111" i="1"/>
  <c r="AQ153" i="1"/>
  <c r="AQ152" i="1"/>
  <c r="AO112" i="1"/>
  <c r="BD18" i="1"/>
  <c r="BE18" i="1" s="1"/>
  <c r="AO104" i="1"/>
  <c r="AO105" i="1"/>
  <c r="AO79" i="1"/>
  <c r="AO81" i="1"/>
  <c r="AM111" i="1"/>
  <c r="AM90" i="1"/>
  <c r="AO73" i="1"/>
  <c r="AO72" i="1"/>
  <c r="AS65" i="1"/>
  <c r="AO50" i="1"/>
  <c r="AK89" i="1"/>
  <c r="AM145" i="1"/>
  <c r="AM146" i="1"/>
  <c r="AO42" i="1"/>
  <c r="AO63" i="1"/>
  <c r="AO62" i="1"/>
  <c r="AF4" i="1"/>
  <c r="F15" i="3"/>
  <c r="G9" i="3"/>
  <c r="G8" i="3"/>
  <c r="Q83" i="1"/>
  <c r="Q29" i="1"/>
  <c r="AA48" i="1"/>
  <c r="AG48" i="1" s="1"/>
  <c r="Q148" i="1"/>
  <c r="G7" i="3"/>
  <c r="Q131" i="1"/>
  <c r="N135" i="1"/>
  <c r="AB135" i="1" s="1"/>
  <c r="N136" i="1"/>
  <c r="AB136" i="1" s="1"/>
  <c r="N78" i="1"/>
  <c r="AM110" i="1" l="1"/>
  <c r="AG88" i="1"/>
  <c r="AI88" i="1"/>
  <c r="AI48" i="1"/>
  <c r="AG145" i="1"/>
  <c r="AK145" i="1"/>
  <c r="AI145" i="1"/>
  <c r="AK88" i="1"/>
  <c r="F13" i="3"/>
  <c r="AG110" i="1"/>
  <c r="AI110" i="1"/>
  <c r="AQ28" i="1"/>
  <c r="AQ29" i="1"/>
  <c r="AK48" i="1"/>
  <c r="AQ63" i="1"/>
  <c r="AQ62" i="1"/>
  <c r="AQ50" i="1"/>
  <c r="AQ104" i="1"/>
  <c r="AQ105" i="1"/>
  <c r="AO110" i="1"/>
  <c r="AO111" i="1"/>
  <c r="AS35" i="1"/>
  <c r="AS36" i="1"/>
  <c r="AM48" i="1"/>
  <c r="AQ31" i="1"/>
  <c r="AQ30" i="1"/>
  <c r="AQ66" i="1"/>
  <c r="AQ64" i="1"/>
  <c r="AO146" i="1"/>
  <c r="AO145" i="1"/>
  <c r="AO49" i="1"/>
  <c r="AQ112" i="1"/>
  <c r="AO24" i="1"/>
  <c r="AO23" i="1"/>
  <c r="AU65" i="1"/>
  <c r="AQ73" i="1"/>
  <c r="AQ72" i="1"/>
  <c r="AO14" i="1"/>
  <c r="AO15" i="1"/>
  <c r="AS42" i="1"/>
  <c r="AS44" i="1"/>
  <c r="AQ147" i="1"/>
  <c r="AO90" i="1"/>
  <c r="AM88" i="1"/>
  <c r="AM89" i="1"/>
  <c r="AQ79" i="1"/>
  <c r="AQ81" i="1"/>
  <c r="AS153" i="1"/>
  <c r="AS152" i="1"/>
  <c r="AM14" i="1"/>
  <c r="N114" i="1"/>
  <c r="O114" i="1" s="1"/>
  <c r="N119" i="1"/>
  <c r="N113" i="1"/>
  <c r="O113" i="1" s="1"/>
  <c r="N125" i="1"/>
  <c r="AB125" i="1" s="1"/>
  <c r="N120" i="1"/>
  <c r="AB120" i="1" s="1"/>
  <c r="N53" i="1"/>
  <c r="O53" i="1" s="1"/>
  <c r="N58" i="1"/>
  <c r="O58" i="1" s="1"/>
  <c r="N60" i="1"/>
  <c r="O60" i="1" s="1"/>
  <c r="N57" i="1"/>
  <c r="O57" i="1" s="1"/>
  <c r="N55" i="1"/>
  <c r="AB55" i="1" s="1"/>
  <c r="N50" i="1"/>
  <c r="O50" i="1" s="1"/>
  <c r="N68" i="1"/>
  <c r="AB68" i="1" s="1"/>
  <c r="N70" i="1"/>
  <c r="AB70" i="1" s="1"/>
  <c r="N24" i="1"/>
  <c r="AB24" i="1" s="1"/>
  <c r="N25" i="1"/>
  <c r="O25" i="1" s="1"/>
  <c r="N26" i="1"/>
  <c r="AB26" i="1" s="1"/>
  <c r="N33" i="1"/>
  <c r="O33" i="1" s="1"/>
  <c r="O155" i="1"/>
  <c r="O154" i="1"/>
  <c r="O153" i="1"/>
  <c r="O151" i="1"/>
  <c r="O150" i="1"/>
  <c r="O149" i="1"/>
  <c r="O148" i="1"/>
  <c r="O147" i="1"/>
  <c r="O144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7" i="1"/>
  <c r="O126" i="1"/>
  <c r="O124" i="1"/>
  <c r="O123" i="1"/>
  <c r="O122" i="1"/>
  <c r="O121" i="1"/>
  <c r="O120" i="1"/>
  <c r="O119" i="1"/>
  <c r="O118" i="1"/>
  <c r="O117" i="1"/>
  <c r="O116" i="1"/>
  <c r="O115" i="1"/>
  <c r="O112" i="1"/>
  <c r="O109" i="1"/>
  <c r="O108" i="1"/>
  <c r="O107" i="1"/>
  <c r="O106" i="1"/>
  <c r="O105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7" i="1"/>
  <c r="O86" i="1"/>
  <c r="O85" i="1"/>
  <c r="O84" i="1"/>
  <c r="O83" i="1"/>
  <c r="O82" i="1"/>
  <c r="O81" i="1"/>
  <c r="O80" i="1"/>
  <c r="O78" i="1"/>
  <c r="O77" i="1"/>
  <c r="O76" i="1"/>
  <c r="O75" i="1"/>
  <c r="O74" i="1"/>
  <c r="O73" i="1"/>
  <c r="O71" i="1"/>
  <c r="O69" i="1"/>
  <c r="O67" i="1"/>
  <c r="O66" i="1"/>
  <c r="O65" i="1"/>
  <c r="O63" i="1"/>
  <c r="O61" i="1"/>
  <c r="O59" i="1"/>
  <c r="O56" i="1"/>
  <c r="O54" i="1"/>
  <c r="O52" i="1"/>
  <c r="O51" i="1"/>
  <c r="O46" i="1"/>
  <c r="O45" i="1"/>
  <c r="O44" i="1"/>
  <c r="O43" i="1"/>
  <c r="O41" i="1"/>
  <c r="O40" i="1"/>
  <c r="O39" i="1"/>
  <c r="O38" i="1"/>
  <c r="O37" i="1"/>
  <c r="O36" i="1"/>
  <c r="O34" i="1"/>
  <c r="O32" i="1"/>
  <c r="O31" i="1"/>
  <c r="O29" i="1"/>
  <c r="O27" i="1"/>
  <c r="O22" i="1"/>
  <c r="O21" i="1"/>
  <c r="O20" i="1"/>
  <c r="O19" i="1"/>
  <c r="O18" i="1"/>
  <c r="O17" i="1"/>
  <c r="O16" i="1"/>
  <c r="O15" i="1"/>
  <c r="O12" i="1"/>
  <c r="O11" i="1"/>
  <c r="U155" i="1"/>
  <c r="U154" i="1"/>
  <c r="U153" i="1"/>
  <c r="U151" i="1"/>
  <c r="U150" i="1"/>
  <c r="U149" i="1"/>
  <c r="U148" i="1"/>
  <c r="U147" i="1"/>
  <c r="U144" i="1"/>
  <c r="U141" i="1"/>
  <c r="U140" i="1"/>
  <c r="U139" i="1"/>
  <c r="U138" i="1"/>
  <c r="U137" i="1"/>
  <c r="U136" i="1"/>
  <c r="U134" i="1"/>
  <c r="U133" i="1"/>
  <c r="U130" i="1"/>
  <c r="U127" i="1"/>
  <c r="U126" i="1"/>
  <c r="U125" i="1"/>
  <c r="U124" i="1"/>
  <c r="U123" i="1"/>
  <c r="U122" i="1"/>
  <c r="U121" i="1"/>
  <c r="U120" i="1"/>
  <c r="U118" i="1"/>
  <c r="U117" i="1"/>
  <c r="U116" i="1"/>
  <c r="U115" i="1"/>
  <c r="U112" i="1"/>
  <c r="U109" i="1"/>
  <c r="U108" i="1"/>
  <c r="U107" i="1"/>
  <c r="U106" i="1"/>
  <c r="U105" i="1"/>
  <c r="U101" i="1"/>
  <c r="U100" i="1"/>
  <c r="U99" i="1"/>
  <c r="U98" i="1"/>
  <c r="U97" i="1"/>
  <c r="U95" i="1"/>
  <c r="U94" i="1"/>
  <c r="U93" i="1"/>
  <c r="U92" i="1"/>
  <c r="U91" i="1"/>
  <c r="U90" i="1"/>
  <c r="U87" i="1"/>
  <c r="U86" i="1"/>
  <c r="U85" i="1"/>
  <c r="U84" i="1"/>
  <c r="U83" i="1"/>
  <c r="U82" i="1"/>
  <c r="U81" i="1"/>
  <c r="U80" i="1"/>
  <c r="U77" i="1"/>
  <c r="U76" i="1"/>
  <c r="U75" i="1"/>
  <c r="U74" i="1"/>
  <c r="U73" i="1"/>
  <c r="U71" i="1"/>
  <c r="U69" i="1"/>
  <c r="U67" i="1"/>
  <c r="U66" i="1"/>
  <c r="U65" i="1"/>
  <c r="U63" i="1"/>
  <c r="U61" i="1"/>
  <c r="U59" i="1"/>
  <c r="U56" i="1"/>
  <c r="U54" i="1"/>
  <c r="U52" i="1"/>
  <c r="U45" i="1"/>
  <c r="U44" i="1"/>
  <c r="U43" i="1"/>
  <c r="U41" i="1"/>
  <c r="U40" i="1"/>
  <c r="U39" i="1"/>
  <c r="U38" i="1"/>
  <c r="U37" i="1"/>
  <c r="U36" i="1"/>
  <c r="U32" i="1"/>
  <c r="U31" i="1"/>
  <c r="U27" i="1"/>
  <c r="U26" i="1"/>
  <c r="U22" i="1"/>
  <c r="U21" i="1"/>
  <c r="U20" i="1"/>
  <c r="U19" i="1"/>
  <c r="U18" i="1"/>
  <c r="U17" i="1"/>
  <c r="U16" i="1"/>
  <c r="U15" i="1"/>
  <c r="U12" i="1"/>
  <c r="U11" i="1"/>
  <c r="U10" i="1"/>
  <c r="AS28" i="1" l="1"/>
  <c r="AS29" i="1"/>
  <c r="AO48" i="1"/>
  <c r="AU153" i="1"/>
  <c r="AU152" i="1"/>
  <c r="AQ145" i="1"/>
  <c r="AQ146" i="1"/>
  <c r="AU44" i="1"/>
  <c r="AU42" i="1"/>
  <c r="AQ23" i="1"/>
  <c r="AQ24" i="1"/>
  <c r="AS66" i="1"/>
  <c r="AS64" i="1"/>
  <c r="AS30" i="1"/>
  <c r="AS31" i="1"/>
  <c r="AO88" i="1"/>
  <c r="AO89" i="1"/>
  <c r="AS147" i="1"/>
  <c r="AS72" i="1"/>
  <c r="AS73" i="1"/>
  <c r="AS112" i="1"/>
  <c r="AS50" i="1"/>
  <c r="AS62" i="1"/>
  <c r="AS63" i="1"/>
  <c r="AS81" i="1"/>
  <c r="AS79" i="1"/>
  <c r="AQ90" i="1"/>
  <c r="AQ15" i="1"/>
  <c r="AQ14" i="1"/>
  <c r="AW65" i="1"/>
  <c r="AQ111" i="1"/>
  <c r="AQ110" i="1"/>
  <c r="AU35" i="1"/>
  <c r="AU36" i="1"/>
  <c r="AS104" i="1"/>
  <c r="AS105" i="1"/>
  <c r="AQ49" i="1"/>
  <c r="O26" i="1"/>
  <c r="O68" i="1"/>
  <c r="O125" i="1"/>
  <c r="O70" i="1"/>
  <c r="O24" i="1"/>
  <c r="O55" i="1"/>
  <c r="W12" i="1"/>
  <c r="M155" i="1"/>
  <c r="M154" i="1"/>
  <c r="M153" i="1"/>
  <c r="M151" i="1"/>
  <c r="M150" i="1"/>
  <c r="M149" i="1"/>
  <c r="M148" i="1"/>
  <c r="M147" i="1"/>
  <c r="M144" i="1"/>
  <c r="M139" i="1"/>
  <c r="M138" i="1"/>
  <c r="M137" i="1"/>
  <c r="M136" i="1"/>
  <c r="M135" i="1"/>
  <c r="M134" i="1"/>
  <c r="M133" i="1"/>
  <c r="M132" i="1"/>
  <c r="M131" i="1"/>
  <c r="M130" i="1"/>
  <c r="M127" i="1"/>
  <c r="M126" i="1"/>
  <c r="M125" i="1"/>
  <c r="M124" i="1"/>
  <c r="M123" i="1"/>
  <c r="M122" i="1"/>
  <c r="M121" i="1"/>
  <c r="M120" i="1"/>
  <c r="M118" i="1"/>
  <c r="M117" i="1"/>
  <c r="M116" i="1"/>
  <c r="M115" i="1"/>
  <c r="M112" i="1"/>
  <c r="M109" i="1"/>
  <c r="M108" i="1"/>
  <c r="M107" i="1"/>
  <c r="M106" i="1"/>
  <c r="M105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7" i="1"/>
  <c r="M86" i="1"/>
  <c r="M85" i="1"/>
  <c r="M83" i="1"/>
  <c r="M82" i="1"/>
  <c r="M81" i="1"/>
  <c r="M80" i="1"/>
  <c r="M77" i="1"/>
  <c r="M76" i="1"/>
  <c r="M75" i="1"/>
  <c r="M74" i="1"/>
  <c r="M73" i="1"/>
  <c r="M71" i="1"/>
  <c r="M70" i="1"/>
  <c r="M69" i="1"/>
  <c r="M68" i="1"/>
  <c r="M67" i="1"/>
  <c r="M65" i="1"/>
  <c r="M63" i="1"/>
  <c r="M61" i="1"/>
  <c r="M59" i="1"/>
  <c r="M56" i="1"/>
  <c r="M55" i="1"/>
  <c r="M54" i="1"/>
  <c r="M52" i="1"/>
  <c r="M45" i="1"/>
  <c r="M44" i="1"/>
  <c r="M43" i="1"/>
  <c r="M41" i="1"/>
  <c r="M40" i="1"/>
  <c r="M39" i="1"/>
  <c r="M38" i="1"/>
  <c r="M37" i="1"/>
  <c r="M36" i="1"/>
  <c r="M32" i="1"/>
  <c r="M31" i="1"/>
  <c r="M29" i="1"/>
  <c r="M27" i="1"/>
  <c r="M26" i="1"/>
  <c r="M24" i="1"/>
  <c r="M22" i="1"/>
  <c r="M21" i="1"/>
  <c r="M20" i="1"/>
  <c r="M19" i="1"/>
  <c r="M18" i="1"/>
  <c r="M17" i="1"/>
  <c r="M16" i="1"/>
  <c r="M15" i="1"/>
  <c r="M12" i="1"/>
  <c r="M11" i="1"/>
  <c r="AU28" i="1" l="1"/>
  <c r="AU29" i="1"/>
  <c r="AU62" i="1"/>
  <c r="AU63" i="1"/>
  <c r="AU72" i="1"/>
  <c r="AU73" i="1"/>
  <c r="AU147" i="1"/>
  <c r="AW44" i="1"/>
  <c r="AW42" i="1"/>
  <c r="AU105" i="1"/>
  <c r="AU104" i="1"/>
  <c r="AS90" i="1"/>
  <c r="AS49" i="1"/>
  <c r="AS146" i="1"/>
  <c r="AS145" i="1"/>
  <c r="AU30" i="1"/>
  <c r="AU31" i="1"/>
  <c r="AS23" i="1"/>
  <c r="AS24" i="1"/>
  <c r="AQ48" i="1"/>
  <c r="AS14" i="1"/>
  <c r="AS15" i="1"/>
  <c r="AS111" i="1"/>
  <c r="AS110" i="1"/>
  <c r="AW36" i="1"/>
  <c r="AW35" i="1"/>
  <c r="AY65" i="1"/>
  <c r="AQ88" i="1"/>
  <c r="AQ89" i="1"/>
  <c r="AU79" i="1"/>
  <c r="AU81" i="1"/>
  <c r="AU50" i="1"/>
  <c r="AU112" i="1"/>
  <c r="AU66" i="1"/>
  <c r="AU64" i="1"/>
  <c r="AW153" i="1"/>
  <c r="AW152" i="1"/>
  <c r="L141" i="1"/>
  <c r="AB141" i="1" s="1"/>
  <c r="L140" i="1"/>
  <c r="AB140" i="1" s="1"/>
  <c r="L114" i="1"/>
  <c r="AB114" i="1" s="1"/>
  <c r="L113" i="1"/>
  <c r="AB113" i="1" s="1"/>
  <c r="L119" i="1"/>
  <c r="AB119" i="1" s="1"/>
  <c r="L53" i="1"/>
  <c r="AB53" i="1" s="1"/>
  <c r="L58" i="1"/>
  <c r="AB58" i="1" s="1"/>
  <c r="L60" i="1"/>
  <c r="AB60" i="1" s="1"/>
  <c r="L57" i="1"/>
  <c r="AB57" i="1" s="1"/>
  <c r="L50" i="1"/>
  <c r="AB50" i="1" s="1"/>
  <c r="L84" i="1"/>
  <c r="AB84" i="1" s="1"/>
  <c r="L66" i="1"/>
  <c r="AB66" i="1" s="1"/>
  <c r="L78" i="1"/>
  <c r="AB78" i="1" s="1"/>
  <c r="L25" i="1"/>
  <c r="AB25" i="1" s="1"/>
  <c r="L33" i="1"/>
  <c r="AB33" i="1" s="1"/>
  <c r="AW29" i="1" l="1"/>
  <c r="AW28" i="1"/>
  <c r="AW66" i="1"/>
  <c r="AW64" i="1"/>
  <c r="AU14" i="1"/>
  <c r="AU15" i="1"/>
  <c r="AS48" i="1"/>
  <c r="AW104" i="1"/>
  <c r="AW105" i="1"/>
  <c r="AU145" i="1"/>
  <c r="AU146" i="1"/>
  <c r="AU110" i="1"/>
  <c r="AU111" i="1"/>
  <c r="AW50" i="1"/>
  <c r="BA65" i="1"/>
  <c r="AU23" i="1"/>
  <c r="AU24" i="1"/>
  <c r="AS89" i="1"/>
  <c r="AS88" i="1"/>
  <c r="AW147" i="1"/>
  <c r="AW62" i="1"/>
  <c r="AW63" i="1"/>
  <c r="AW112" i="1"/>
  <c r="AU90" i="1"/>
  <c r="AW72" i="1"/>
  <c r="AW73" i="1"/>
  <c r="AU49" i="1"/>
  <c r="AY153" i="1"/>
  <c r="AY152" i="1"/>
  <c r="AW79" i="1"/>
  <c r="AW81" i="1"/>
  <c r="AY35" i="1"/>
  <c r="AY36" i="1"/>
  <c r="AW31" i="1"/>
  <c r="AW30" i="1"/>
  <c r="AY44" i="1"/>
  <c r="AY42" i="1"/>
  <c r="M66" i="1"/>
  <c r="M113" i="1"/>
  <c r="M60" i="1"/>
  <c r="M33" i="1"/>
  <c r="M84" i="1"/>
  <c r="M58" i="1"/>
  <c r="M114" i="1"/>
  <c r="M25" i="1"/>
  <c r="M50" i="1"/>
  <c r="M53" i="1"/>
  <c r="M78" i="1"/>
  <c r="M57" i="1"/>
  <c r="M119" i="1"/>
  <c r="M141" i="1"/>
  <c r="M140" i="1"/>
  <c r="K77" i="1"/>
  <c r="K132" i="1"/>
  <c r="K135" i="1"/>
  <c r="K130" i="1"/>
  <c r="K138" i="1"/>
  <c r="K136" i="1"/>
  <c r="K114" i="1"/>
  <c r="K119" i="1"/>
  <c r="K113" i="1"/>
  <c r="K122" i="1"/>
  <c r="K125" i="1"/>
  <c r="K53" i="1"/>
  <c r="K58" i="1"/>
  <c r="K60" i="1"/>
  <c r="K57" i="1"/>
  <c r="K50" i="1"/>
  <c r="K68" i="1"/>
  <c r="K78" i="1"/>
  <c r="K24" i="1"/>
  <c r="K25" i="1"/>
  <c r="K33" i="1"/>
  <c r="AY28" i="1" l="1"/>
  <c r="AY29" i="1"/>
  <c r="AW49" i="1"/>
  <c r="BA44" i="1"/>
  <c r="BD44" i="1" s="1"/>
  <c r="BA42" i="1"/>
  <c r="BA36" i="1"/>
  <c r="BA35" i="1"/>
  <c r="AU48" i="1"/>
  <c r="AY112" i="1"/>
  <c r="AY63" i="1"/>
  <c r="AY62" i="1"/>
  <c r="AW90" i="1"/>
  <c r="AW111" i="1"/>
  <c r="AW110" i="1"/>
  <c r="BC65" i="1"/>
  <c r="BD65" i="1"/>
  <c r="AY105" i="1"/>
  <c r="AY104" i="1"/>
  <c r="AW14" i="1"/>
  <c r="AW15" i="1"/>
  <c r="AY66" i="1"/>
  <c r="AY64" i="1"/>
  <c r="AW145" i="1"/>
  <c r="AW146" i="1"/>
  <c r="AY30" i="1"/>
  <c r="AY31" i="1"/>
  <c r="AY81" i="1"/>
  <c r="AY79" i="1"/>
  <c r="BA152" i="1"/>
  <c r="BA153" i="1"/>
  <c r="BD153" i="1" s="1"/>
  <c r="AY73" i="1"/>
  <c r="AY72" i="1"/>
  <c r="AU88" i="1"/>
  <c r="AU89" i="1"/>
  <c r="AY147" i="1"/>
  <c r="AW23" i="1"/>
  <c r="AW24" i="1"/>
  <c r="AY50" i="1"/>
  <c r="K23" i="1"/>
  <c r="J135" i="1"/>
  <c r="J114" i="1"/>
  <c r="J119" i="1"/>
  <c r="J113" i="1"/>
  <c r="J57" i="1"/>
  <c r="J50" i="1"/>
  <c r="J103" i="1"/>
  <c r="J90" i="1"/>
  <c r="J78" i="1"/>
  <c r="J33" i="1"/>
  <c r="BA29" i="1" l="1"/>
  <c r="BA28" i="1"/>
  <c r="BE44" i="1"/>
  <c r="BD42" i="1"/>
  <c r="BE42" i="1" s="1"/>
  <c r="AY145" i="1"/>
  <c r="AY146" i="1"/>
  <c r="BA66" i="1"/>
  <c r="BD66" i="1" s="1"/>
  <c r="BA64" i="1"/>
  <c r="AW89" i="1"/>
  <c r="AW88" i="1"/>
  <c r="BA112" i="1"/>
  <c r="BD112" i="1" s="1"/>
  <c r="BC35" i="1"/>
  <c r="BC36" i="1"/>
  <c r="BD36" i="1"/>
  <c r="BD152" i="1"/>
  <c r="BE152" i="1" s="1"/>
  <c r="BE153" i="1"/>
  <c r="AY24" i="1"/>
  <c r="AY23" i="1"/>
  <c r="BA147" i="1"/>
  <c r="BA73" i="1"/>
  <c r="BD73" i="1" s="1"/>
  <c r="BA72" i="1"/>
  <c r="AY15" i="1"/>
  <c r="AY14" i="1"/>
  <c r="BA105" i="1"/>
  <c r="BD105" i="1" s="1"/>
  <c r="BA104" i="1"/>
  <c r="BA63" i="1"/>
  <c r="BD63" i="1" s="1"/>
  <c r="BA62" i="1"/>
  <c r="AW48" i="1"/>
  <c r="AY49" i="1"/>
  <c r="BC152" i="1"/>
  <c r="BC153" i="1"/>
  <c r="BA81" i="1"/>
  <c r="BA79" i="1"/>
  <c r="BE65" i="1"/>
  <c r="BC42" i="1"/>
  <c r="BC44" i="1"/>
  <c r="BA50" i="1"/>
  <c r="BA31" i="1"/>
  <c r="BD31" i="1" s="1"/>
  <c r="BA30" i="1"/>
  <c r="AY90" i="1"/>
  <c r="AY111" i="1"/>
  <c r="AY110" i="1"/>
  <c r="J29" i="1"/>
  <c r="J24" i="1"/>
  <c r="J25" i="1"/>
  <c r="J132" i="1"/>
  <c r="J136" i="1"/>
  <c r="J53" i="1"/>
  <c r="J59" i="1"/>
  <c r="J58" i="1"/>
  <c r="J60" i="1"/>
  <c r="J55" i="1"/>
  <c r="BD29" i="1" l="1"/>
  <c r="BC29" i="1"/>
  <c r="BC28" i="1"/>
  <c r="BD72" i="1"/>
  <c r="BE72" i="1" s="1"/>
  <c r="BE73" i="1"/>
  <c r="BE66" i="1"/>
  <c r="BD64" i="1"/>
  <c r="BE64" i="1" s="1"/>
  <c r="BE63" i="1"/>
  <c r="BD62" i="1"/>
  <c r="BE62" i="1" s="1"/>
  <c r="BA49" i="1"/>
  <c r="BC81" i="1"/>
  <c r="BC79" i="1"/>
  <c r="BD81" i="1"/>
  <c r="BC147" i="1"/>
  <c r="AY89" i="1"/>
  <c r="AY88" i="1"/>
  <c r="BC50" i="1"/>
  <c r="BD50" i="1"/>
  <c r="BC62" i="1"/>
  <c r="BC63" i="1"/>
  <c r="BA14" i="1"/>
  <c r="BA15" i="1"/>
  <c r="BA145" i="1"/>
  <c r="BA146" i="1"/>
  <c r="BD131" i="1"/>
  <c r="BA110" i="1"/>
  <c r="BA111" i="1"/>
  <c r="BD30" i="1"/>
  <c r="BE30" i="1" s="1"/>
  <c r="BE31" i="1"/>
  <c r="BE112" i="1"/>
  <c r="BD111" i="1"/>
  <c r="BA90" i="1"/>
  <c r="BC31" i="1"/>
  <c r="BC30" i="1"/>
  <c r="BD35" i="1"/>
  <c r="BE35" i="1" s="1"/>
  <c r="BE36" i="1"/>
  <c r="BC112" i="1"/>
  <c r="BE105" i="1"/>
  <c r="BD104" i="1"/>
  <c r="BE104" i="1" s="1"/>
  <c r="BD147" i="1"/>
  <c r="AY48" i="1"/>
  <c r="BC104" i="1"/>
  <c r="BC105" i="1"/>
  <c r="BC73" i="1"/>
  <c r="BC72" i="1"/>
  <c r="BA24" i="1"/>
  <c r="BA23" i="1"/>
  <c r="BC66" i="1"/>
  <c r="BC64" i="1"/>
  <c r="BD10" i="1"/>
  <c r="I131" i="1"/>
  <c r="BD28" i="1" l="1"/>
  <c r="BE28" i="1" s="1"/>
  <c r="BE29" i="1"/>
  <c r="BC23" i="1"/>
  <c r="BC24" i="1"/>
  <c r="BA88" i="1"/>
  <c r="BA89" i="1"/>
  <c r="BC90" i="1"/>
  <c r="BD90" i="1"/>
  <c r="BD129" i="1"/>
  <c r="BD24" i="1"/>
  <c r="BC15" i="1"/>
  <c r="BD15" i="1"/>
  <c r="BC14" i="1"/>
  <c r="BE50" i="1"/>
  <c r="BD49" i="1"/>
  <c r="BC145" i="1"/>
  <c r="BC146" i="1"/>
  <c r="BD146" i="1"/>
  <c r="BE147" i="1"/>
  <c r="BC110" i="1"/>
  <c r="BC111" i="1"/>
  <c r="BE111" i="1"/>
  <c r="BD110" i="1"/>
  <c r="BE110" i="1" s="1"/>
  <c r="BC49" i="1"/>
  <c r="BE81" i="1"/>
  <c r="BD79" i="1"/>
  <c r="BE79" i="1" s="1"/>
  <c r="BA48" i="1"/>
  <c r="BD9" i="1"/>
  <c r="U131" i="1"/>
  <c r="V131" i="1"/>
  <c r="I132" i="1"/>
  <c r="U132" i="1" s="1"/>
  <c r="I135" i="1"/>
  <c r="U135" i="1" s="1"/>
  <c r="I114" i="1"/>
  <c r="U114" i="1" s="1"/>
  <c r="I119" i="1"/>
  <c r="U119" i="1" s="1"/>
  <c r="I113" i="1"/>
  <c r="U113" i="1" s="1"/>
  <c r="I53" i="1"/>
  <c r="U53" i="1" s="1"/>
  <c r="I78" i="1"/>
  <c r="U78" i="1" s="1"/>
  <c r="I58" i="1"/>
  <c r="U58" i="1" s="1"/>
  <c r="I60" i="1"/>
  <c r="U60" i="1" s="1"/>
  <c r="I57" i="1"/>
  <c r="U57" i="1" s="1"/>
  <c r="I55" i="1"/>
  <c r="U55" i="1" s="1"/>
  <c r="I50" i="1"/>
  <c r="U50" i="1" s="1"/>
  <c r="I102" i="1"/>
  <c r="U102" i="1" s="1"/>
  <c r="I103" i="1"/>
  <c r="U103" i="1" s="1"/>
  <c r="I96" i="1"/>
  <c r="U96" i="1" s="1"/>
  <c r="I68" i="1"/>
  <c r="U68" i="1" s="1"/>
  <c r="I70" i="1"/>
  <c r="U70" i="1" s="1"/>
  <c r="I29" i="1"/>
  <c r="U29" i="1" s="1"/>
  <c r="I24" i="1"/>
  <c r="U24" i="1" s="1"/>
  <c r="I25" i="1"/>
  <c r="U25" i="1" s="1"/>
  <c r="I33" i="1"/>
  <c r="U33" i="1" s="1"/>
  <c r="BC48" i="1" l="1"/>
  <c r="BE15" i="1"/>
  <c r="BD14" i="1"/>
  <c r="BE14" i="1" s="1"/>
  <c r="BD89" i="1"/>
  <c r="BE90" i="1"/>
  <c r="BD48" i="1"/>
  <c r="BE49" i="1"/>
  <c r="BE24" i="1"/>
  <c r="BD23" i="1"/>
  <c r="BE23" i="1" s="1"/>
  <c r="BC89" i="1"/>
  <c r="BC88" i="1"/>
  <c r="BD145" i="1"/>
  <c r="BE145" i="1" s="1"/>
  <c r="BE146" i="1"/>
  <c r="BD128" i="1"/>
  <c r="H153" i="1"/>
  <c r="H132" i="1"/>
  <c r="H135" i="1"/>
  <c r="H130" i="1"/>
  <c r="H136" i="1"/>
  <c r="H140" i="1"/>
  <c r="V140" i="1" s="1"/>
  <c r="H114" i="1"/>
  <c r="H119" i="1"/>
  <c r="H113" i="1"/>
  <c r="H53" i="1"/>
  <c r="H58" i="1"/>
  <c r="H60" i="1"/>
  <c r="H57" i="1"/>
  <c r="H50" i="1"/>
  <c r="H103" i="1"/>
  <c r="H83" i="1"/>
  <c r="H68" i="1"/>
  <c r="H78" i="1"/>
  <c r="H29" i="1"/>
  <c r="G29" i="1"/>
  <c r="H24" i="1"/>
  <c r="H33" i="1"/>
  <c r="BE48" i="1" l="1"/>
  <c r="BD8" i="1"/>
  <c r="BD88" i="1"/>
  <c r="BE88" i="1" s="1"/>
  <c r="BE89" i="1"/>
  <c r="G132" i="1"/>
  <c r="G135" i="1"/>
  <c r="G130" i="1"/>
  <c r="G136" i="1"/>
  <c r="G114" i="1"/>
  <c r="G119" i="1"/>
  <c r="G113" i="1"/>
  <c r="G125" i="1"/>
  <c r="G53" i="1"/>
  <c r="G58" i="1"/>
  <c r="G60" i="1"/>
  <c r="G57" i="1"/>
  <c r="G50" i="1"/>
  <c r="G85" i="1"/>
  <c r="BD47" i="1" l="1"/>
  <c r="BD6" i="1"/>
  <c r="BD4" i="1" s="1"/>
  <c r="G68" i="1"/>
  <c r="G78" i="1"/>
  <c r="G75" i="1"/>
  <c r="G24" i="1"/>
  <c r="G25" i="1"/>
  <c r="G64" i="1" l="1"/>
  <c r="H64" i="1"/>
  <c r="I64" i="1"/>
  <c r="J64" i="1"/>
  <c r="K64" i="1"/>
  <c r="L64" i="1"/>
  <c r="N64" i="1"/>
  <c r="O64" i="1" s="1"/>
  <c r="P64" i="1"/>
  <c r="Q64" i="1" s="1"/>
  <c r="R64" i="1"/>
  <c r="S64" i="1"/>
  <c r="T64" i="1"/>
  <c r="U64" i="1" s="1"/>
  <c r="F154" i="1"/>
  <c r="F132" i="1"/>
  <c r="F135" i="1"/>
  <c r="F130" i="1"/>
  <c r="F114" i="1"/>
  <c r="F119" i="1"/>
  <c r="F113" i="1"/>
  <c r="F125" i="1"/>
  <c r="F53" i="1"/>
  <c r="F77" i="1"/>
  <c r="F58" i="1"/>
  <c r="F60" i="1"/>
  <c r="F57" i="1"/>
  <c r="F61" i="1"/>
  <c r="F55" i="1"/>
  <c r="F50" i="1"/>
  <c r="F101" i="1"/>
  <c r="F86" i="1"/>
  <c r="F68" i="1"/>
  <c r="F70" i="1"/>
  <c r="F69" i="1"/>
  <c r="F78" i="1"/>
  <c r="F29" i="1"/>
  <c r="F27" i="1"/>
  <c r="F25" i="1"/>
  <c r="F24" i="1"/>
  <c r="F33" i="1"/>
  <c r="AB64" i="1" l="1"/>
  <c r="M64" i="1"/>
  <c r="V155" i="1"/>
  <c r="V154" i="1"/>
  <c r="V153" i="1"/>
  <c r="V151" i="1"/>
  <c r="V150" i="1"/>
  <c r="V149" i="1"/>
  <c r="V148" i="1"/>
  <c r="V147" i="1"/>
  <c r="V144" i="1"/>
  <c r="V143" i="1" s="1"/>
  <c r="V142" i="1" s="1"/>
  <c r="V141" i="1"/>
  <c r="V139" i="1"/>
  <c r="V138" i="1"/>
  <c r="V137" i="1"/>
  <c r="V136" i="1"/>
  <c r="V135" i="1"/>
  <c r="V134" i="1"/>
  <c r="V133" i="1"/>
  <c r="V132" i="1"/>
  <c r="V130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09" i="1"/>
  <c r="V108" i="1"/>
  <c r="V107" i="1"/>
  <c r="V106" i="1"/>
  <c r="V105" i="1"/>
  <c r="V103" i="1"/>
  <c r="V102" i="1"/>
  <c r="V101" i="1"/>
  <c r="V100" i="1"/>
  <c r="V99" i="1"/>
  <c r="V98" i="1"/>
  <c r="V97" i="1"/>
  <c r="V96" i="1"/>
  <c r="V95" i="1"/>
  <c r="V94" i="1"/>
  <c r="V93" i="1"/>
  <c r="V92" i="1"/>
  <c r="V91" i="1"/>
  <c r="V90" i="1"/>
  <c r="V87" i="1"/>
  <c r="V86" i="1"/>
  <c r="V85" i="1"/>
  <c r="V84" i="1"/>
  <c r="V83" i="1"/>
  <c r="V82" i="1"/>
  <c r="V81" i="1"/>
  <c r="V80" i="1"/>
  <c r="V78" i="1"/>
  <c r="V77" i="1"/>
  <c r="V76" i="1"/>
  <c r="V75" i="1"/>
  <c r="V74" i="1"/>
  <c r="V73" i="1"/>
  <c r="V68" i="1"/>
  <c r="V69" i="1"/>
  <c r="V70" i="1"/>
  <c r="V71" i="1"/>
  <c r="V67" i="1"/>
  <c r="V66" i="1"/>
  <c r="V65" i="1"/>
  <c r="V63" i="1"/>
  <c r="V61" i="1"/>
  <c r="V60" i="1"/>
  <c r="V59" i="1"/>
  <c r="V58" i="1"/>
  <c r="V57" i="1"/>
  <c r="V56" i="1"/>
  <c r="V55" i="1"/>
  <c r="V54" i="1"/>
  <c r="V53" i="1"/>
  <c r="V52" i="1"/>
  <c r="V51" i="1"/>
  <c r="V50" i="1"/>
  <c r="V46" i="1"/>
  <c r="V45" i="1"/>
  <c r="V44" i="1"/>
  <c r="V43" i="1"/>
  <c r="V41" i="1"/>
  <c r="V40" i="1"/>
  <c r="V39" i="1"/>
  <c r="V38" i="1"/>
  <c r="V37" i="1"/>
  <c r="V36" i="1"/>
  <c r="V34" i="1"/>
  <c r="X34" i="1" s="1"/>
  <c r="Y34" i="1" s="1"/>
  <c r="V33" i="1"/>
  <c r="V32" i="1"/>
  <c r="V31" i="1"/>
  <c r="V29" i="1"/>
  <c r="X29" i="1" s="1"/>
  <c r="Y29" i="1" s="1"/>
  <c r="Y28" i="1" s="1"/>
  <c r="V27" i="1"/>
  <c r="V26" i="1"/>
  <c r="V25" i="1"/>
  <c r="V24" i="1"/>
  <c r="V22" i="1"/>
  <c r="V21" i="1"/>
  <c r="V20" i="1"/>
  <c r="V19" i="1"/>
  <c r="V18" i="1"/>
  <c r="V17" i="1"/>
  <c r="V16" i="1"/>
  <c r="V15" i="1"/>
  <c r="V11" i="1"/>
  <c r="X11" i="1" s="1"/>
  <c r="Y11" i="1" s="1"/>
  <c r="V10" i="1"/>
  <c r="T152" i="1"/>
  <c r="S152" i="1"/>
  <c r="R152" i="1"/>
  <c r="P152" i="1"/>
  <c r="Q152" i="1" s="1"/>
  <c r="N152" i="1"/>
  <c r="O152" i="1" s="1"/>
  <c r="L152" i="1"/>
  <c r="K152" i="1"/>
  <c r="J152" i="1"/>
  <c r="I152" i="1"/>
  <c r="H152" i="1"/>
  <c r="G152" i="1"/>
  <c r="T146" i="1"/>
  <c r="S146" i="1"/>
  <c r="S145" i="1" s="1"/>
  <c r="R146" i="1"/>
  <c r="R145" i="1" s="1"/>
  <c r="P146" i="1"/>
  <c r="N146" i="1"/>
  <c r="L146" i="1"/>
  <c r="K146" i="1"/>
  <c r="K145" i="1" s="1"/>
  <c r="J146" i="1"/>
  <c r="J145" i="1" s="1"/>
  <c r="I146" i="1"/>
  <c r="I145" i="1" s="1"/>
  <c r="H146" i="1"/>
  <c r="H145" i="1" s="1"/>
  <c r="G146" i="1"/>
  <c r="G145" i="1" s="1"/>
  <c r="T143" i="1"/>
  <c r="T142" i="1" s="1"/>
  <c r="S143" i="1"/>
  <c r="S142" i="1" s="1"/>
  <c r="R143" i="1"/>
  <c r="R142" i="1" s="1"/>
  <c r="P143" i="1"/>
  <c r="N143" i="1"/>
  <c r="L143" i="1"/>
  <c r="K143" i="1"/>
  <c r="K142" i="1" s="1"/>
  <c r="J143" i="1"/>
  <c r="J142" i="1" s="1"/>
  <c r="I143" i="1"/>
  <c r="I142" i="1" s="1"/>
  <c r="H143" i="1"/>
  <c r="H142" i="1" s="1"/>
  <c r="G143" i="1"/>
  <c r="G142" i="1" s="1"/>
  <c r="T129" i="1"/>
  <c r="S129" i="1"/>
  <c r="S128" i="1" s="1"/>
  <c r="R129" i="1"/>
  <c r="R128" i="1" s="1"/>
  <c r="P129" i="1"/>
  <c r="N129" i="1"/>
  <c r="L129" i="1"/>
  <c r="K129" i="1"/>
  <c r="K128" i="1" s="1"/>
  <c r="J129" i="1"/>
  <c r="J128" i="1" s="1"/>
  <c r="I129" i="1"/>
  <c r="I128" i="1" s="1"/>
  <c r="H129" i="1"/>
  <c r="H128" i="1" s="1"/>
  <c r="G129" i="1"/>
  <c r="G128" i="1" s="1"/>
  <c r="T111" i="1"/>
  <c r="S111" i="1"/>
  <c r="S110" i="1" s="1"/>
  <c r="R111" i="1"/>
  <c r="R110" i="1" s="1"/>
  <c r="P111" i="1"/>
  <c r="N111" i="1"/>
  <c r="L111" i="1"/>
  <c r="K111" i="1"/>
  <c r="K110" i="1" s="1"/>
  <c r="J111" i="1"/>
  <c r="J110" i="1" s="1"/>
  <c r="I111" i="1"/>
  <c r="I110" i="1" s="1"/>
  <c r="H111" i="1"/>
  <c r="H110" i="1" s="1"/>
  <c r="G111" i="1"/>
  <c r="G110" i="1" s="1"/>
  <c r="T104" i="1"/>
  <c r="S104" i="1"/>
  <c r="R104" i="1"/>
  <c r="P104" i="1"/>
  <c r="Q104" i="1" s="1"/>
  <c r="N104" i="1"/>
  <c r="O104" i="1" s="1"/>
  <c r="L104" i="1"/>
  <c r="K104" i="1"/>
  <c r="J104" i="1"/>
  <c r="I104" i="1"/>
  <c r="H104" i="1"/>
  <c r="G104" i="1"/>
  <c r="T89" i="1"/>
  <c r="S89" i="1"/>
  <c r="S88" i="1" s="1"/>
  <c r="R89" i="1"/>
  <c r="R88" i="1" s="1"/>
  <c r="P89" i="1"/>
  <c r="N89" i="1"/>
  <c r="O89" i="1" s="1"/>
  <c r="L89" i="1"/>
  <c r="K89" i="1"/>
  <c r="K88" i="1" s="1"/>
  <c r="J89" i="1"/>
  <c r="J88" i="1" s="1"/>
  <c r="I89" i="1"/>
  <c r="I88" i="1" s="1"/>
  <c r="H89" i="1"/>
  <c r="H88" i="1" s="1"/>
  <c r="G89" i="1"/>
  <c r="G88" i="1" s="1"/>
  <c r="T79" i="1"/>
  <c r="S79" i="1"/>
  <c r="R79" i="1"/>
  <c r="P79" i="1"/>
  <c r="Q79" i="1" s="1"/>
  <c r="N79" i="1"/>
  <c r="O79" i="1" s="1"/>
  <c r="L79" i="1"/>
  <c r="K79" i="1"/>
  <c r="J79" i="1"/>
  <c r="I79" i="1"/>
  <c r="H79" i="1"/>
  <c r="G79" i="1"/>
  <c r="T72" i="1"/>
  <c r="S72" i="1"/>
  <c r="R72" i="1"/>
  <c r="P72" i="1"/>
  <c r="Q72" i="1" s="1"/>
  <c r="N72" i="1"/>
  <c r="O72" i="1" s="1"/>
  <c r="L72" i="1"/>
  <c r="K72" i="1"/>
  <c r="J72" i="1"/>
  <c r="I72" i="1"/>
  <c r="H72" i="1"/>
  <c r="G72" i="1"/>
  <c r="T62" i="1"/>
  <c r="S62" i="1"/>
  <c r="R62" i="1"/>
  <c r="P62" i="1"/>
  <c r="Q62" i="1" s="1"/>
  <c r="N62" i="1"/>
  <c r="O62" i="1" s="1"/>
  <c r="L62" i="1"/>
  <c r="K62" i="1"/>
  <c r="J62" i="1"/>
  <c r="I62" i="1"/>
  <c r="H62" i="1"/>
  <c r="G62" i="1"/>
  <c r="T49" i="1"/>
  <c r="S49" i="1"/>
  <c r="R49" i="1"/>
  <c r="P49" i="1"/>
  <c r="Q49" i="1" s="1"/>
  <c r="N49" i="1"/>
  <c r="O49" i="1" s="1"/>
  <c r="L49" i="1"/>
  <c r="K49" i="1"/>
  <c r="J49" i="1"/>
  <c r="I49" i="1"/>
  <c r="H49" i="1"/>
  <c r="G49" i="1"/>
  <c r="T42" i="1"/>
  <c r="S42" i="1"/>
  <c r="R42" i="1"/>
  <c r="P42" i="1"/>
  <c r="Q42" i="1" s="1"/>
  <c r="N42" i="1"/>
  <c r="O42" i="1" s="1"/>
  <c r="L42" i="1"/>
  <c r="K42" i="1"/>
  <c r="J42" i="1"/>
  <c r="I42" i="1"/>
  <c r="H42" i="1"/>
  <c r="G42" i="1"/>
  <c r="T35" i="1"/>
  <c r="S35" i="1"/>
  <c r="R35" i="1"/>
  <c r="P35" i="1"/>
  <c r="Q35" i="1" s="1"/>
  <c r="N35" i="1"/>
  <c r="O35" i="1" s="1"/>
  <c r="L35" i="1"/>
  <c r="K35" i="1"/>
  <c r="J35" i="1"/>
  <c r="I35" i="1"/>
  <c r="H35" i="1"/>
  <c r="G35" i="1"/>
  <c r="T30" i="1"/>
  <c r="S30" i="1"/>
  <c r="R30" i="1"/>
  <c r="P30" i="1"/>
  <c r="Q30" i="1" s="1"/>
  <c r="N30" i="1"/>
  <c r="O30" i="1" s="1"/>
  <c r="L30" i="1"/>
  <c r="K30" i="1"/>
  <c r="J30" i="1"/>
  <c r="I30" i="1"/>
  <c r="H30" i="1"/>
  <c r="G30" i="1"/>
  <c r="T28" i="1"/>
  <c r="S28" i="1"/>
  <c r="R28" i="1"/>
  <c r="P28" i="1"/>
  <c r="Q28" i="1" s="1"/>
  <c r="N28" i="1"/>
  <c r="O28" i="1" s="1"/>
  <c r="L28" i="1"/>
  <c r="K28" i="1"/>
  <c r="J28" i="1"/>
  <c r="I28" i="1"/>
  <c r="H28" i="1"/>
  <c r="G28" i="1"/>
  <c r="T23" i="1"/>
  <c r="S23" i="1"/>
  <c r="R23" i="1"/>
  <c r="P23" i="1"/>
  <c r="Q23" i="1" s="1"/>
  <c r="N23" i="1"/>
  <c r="O23" i="1" s="1"/>
  <c r="L23" i="1"/>
  <c r="J23" i="1"/>
  <c r="I23" i="1"/>
  <c r="H23" i="1"/>
  <c r="G23" i="1"/>
  <c r="T14" i="1"/>
  <c r="S14" i="1"/>
  <c r="R14" i="1"/>
  <c r="P14" i="1"/>
  <c r="Q14" i="1" s="1"/>
  <c r="N14" i="1"/>
  <c r="O14" i="1" s="1"/>
  <c r="L14" i="1"/>
  <c r="K14" i="1"/>
  <c r="J14" i="1"/>
  <c r="I14" i="1"/>
  <c r="H14" i="1"/>
  <c r="G14" i="1"/>
  <c r="T13" i="1"/>
  <c r="S13" i="1"/>
  <c r="S9" i="1" s="1"/>
  <c r="R13" i="1"/>
  <c r="R9" i="1" s="1"/>
  <c r="P13" i="1"/>
  <c r="Q13" i="1" s="1"/>
  <c r="N13" i="1"/>
  <c r="L13" i="1"/>
  <c r="K13" i="1"/>
  <c r="K9" i="1" s="1"/>
  <c r="J13" i="1"/>
  <c r="J9" i="1" s="1"/>
  <c r="I13" i="1"/>
  <c r="I9" i="1" s="1"/>
  <c r="H13" i="1"/>
  <c r="H9" i="1" s="1"/>
  <c r="G13" i="1"/>
  <c r="G9" i="1" s="1"/>
  <c r="P9" i="1"/>
  <c r="Q9" i="1" s="1"/>
  <c r="F152" i="1"/>
  <c r="F146" i="1"/>
  <c r="F145" i="1" s="1"/>
  <c r="F143" i="1"/>
  <c r="F142" i="1" s="1"/>
  <c r="F129" i="1"/>
  <c r="F128" i="1" s="1"/>
  <c r="F111" i="1"/>
  <c r="F110" i="1" s="1"/>
  <c r="F104" i="1"/>
  <c r="F89" i="1"/>
  <c r="F88" i="1" s="1"/>
  <c r="F79" i="1"/>
  <c r="F72" i="1"/>
  <c r="F64" i="1"/>
  <c r="F62" i="1"/>
  <c r="F49" i="1"/>
  <c r="F42" i="1"/>
  <c r="F35" i="1"/>
  <c r="F30" i="1"/>
  <c r="F28" i="1"/>
  <c r="F23" i="1"/>
  <c r="F14" i="1"/>
  <c r="F13" i="1"/>
  <c r="F9" i="1" s="1"/>
  <c r="AB13" i="1" l="1"/>
  <c r="AB28" i="1"/>
  <c r="AB89" i="1"/>
  <c r="AB23" i="1"/>
  <c r="AB79" i="1"/>
  <c r="U142" i="1"/>
  <c r="AB72" i="1"/>
  <c r="AB42" i="1"/>
  <c r="AB129" i="1"/>
  <c r="AB146" i="1"/>
  <c r="AB14" i="1"/>
  <c r="AB30" i="1"/>
  <c r="AB104" i="1"/>
  <c r="AB49" i="1"/>
  <c r="AB152" i="1"/>
  <c r="AB35" i="1"/>
  <c r="AB111" i="1"/>
  <c r="AB143" i="1"/>
  <c r="AB62" i="1"/>
  <c r="M14" i="1"/>
  <c r="M30" i="1"/>
  <c r="M62" i="1"/>
  <c r="M104" i="1"/>
  <c r="M28" i="1"/>
  <c r="M49" i="1"/>
  <c r="M23" i="1"/>
  <c r="M42" i="1"/>
  <c r="M79" i="1"/>
  <c r="M35" i="1"/>
  <c r="M72" i="1"/>
  <c r="M152" i="1"/>
  <c r="V14" i="1"/>
  <c r="V30" i="1"/>
  <c r="X58" i="1"/>
  <c r="Y58" i="1" s="1"/>
  <c r="X71" i="1"/>
  <c r="Y71" i="1" s="1"/>
  <c r="X77" i="1"/>
  <c r="Y77" i="1" s="1"/>
  <c r="X86" i="1"/>
  <c r="Y86" i="1" s="1"/>
  <c r="X96" i="1"/>
  <c r="Y96" i="1" s="1"/>
  <c r="W96" i="1"/>
  <c r="X105" i="1"/>
  <c r="Y105" i="1" s="1"/>
  <c r="X115" i="1"/>
  <c r="Y115" i="1" s="1"/>
  <c r="W123" i="1"/>
  <c r="X123" i="1"/>
  <c r="Y123" i="1" s="1"/>
  <c r="X127" i="1"/>
  <c r="Y127" i="1" s="1"/>
  <c r="W127" i="1"/>
  <c r="W136" i="1"/>
  <c r="X136" i="1"/>
  <c r="Y136" i="1" s="1"/>
  <c r="W141" i="1"/>
  <c r="X141" i="1"/>
  <c r="Y141" i="1" s="1"/>
  <c r="X153" i="1"/>
  <c r="Y153" i="1" s="1"/>
  <c r="X15" i="1"/>
  <c r="Y15" i="1" s="1"/>
  <c r="W19" i="1"/>
  <c r="X19" i="1"/>
  <c r="Y19" i="1" s="1"/>
  <c r="W24" i="1"/>
  <c r="X24" i="1"/>
  <c r="Y24" i="1" s="1"/>
  <c r="X39" i="1"/>
  <c r="Y39" i="1" s="1"/>
  <c r="W39" i="1"/>
  <c r="X44" i="1"/>
  <c r="Y44" i="1" s="1"/>
  <c r="W44" i="1"/>
  <c r="X51" i="1"/>
  <c r="Y51" i="1" s="1"/>
  <c r="W51" i="1"/>
  <c r="X55" i="1"/>
  <c r="Y55" i="1" s="1"/>
  <c r="X59" i="1"/>
  <c r="Y59" i="1" s="1"/>
  <c r="X65" i="1"/>
  <c r="Y65" i="1" s="1"/>
  <c r="X70" i="1"/>
  <c r="Y70" i="1" s="1"/>
  <c r="X74" i="1"/>
  <c r="Y74" i="1" s="1"/>
  <c r="X78" i="1"/>
  <c r="Y78" i="1" s="1"/>
  <c r="X83" i="1"/>
  <c r="Y83" i="1" s="1"/>
  <c r="X87" i="1"/>
  <c r="Y87" i="1" s="1"/>
  <c r="X93" i="1"/>
  <c r="Y93" i="1" s="1"/>
  <c r="W93" i="1"/>
  <c r="W97" i="1"/>
  <c r="X97" i="1"/>
  <c r="Y97" i="1" s="1"/>
  <c r="X101" i="1"/>
  <c r="Y101" i="1" s="1"/>
  <c r="W101" i="1"/>
  <c r="W106" i="1"/>
  <c r="X106" i="1"/>
  <c r="Y106" i="1" s="1"/>
  <c r="W112" i="1"/>
  <c r="X112" i="1"/>
  <c r="Y112" i="1" s="1"/>
  <c r="X116" i="1"/>
  <c r="Y116" i="1" s="1"/>
  <c r="W120" i="1"/>
  <c r="X120" i="1"/>
  <c r="Y120" i="1" s="1"/>
  <c r="W124" i="1"/>
  <c r="X124" i="1"/>
  <c r="Y124" i="1" s="1"/>
  <c r="X130" i="1"/>
  <c r="Y130" i="1" s="1"/>
  <c r="X133" i="1"/>
  <c r="Y133" i="1" s="1"/>
  <c r="W139" i="1"/>
  <c r="X139" i="1"/>
  <c r="Y139" i="1" s="1"/>
  <c r="W149" i="1"/>
  <c r="X149" i="1"/>
  <c r="Y149" i="1" s="1"/>
  <c r="X154" i="1"/>
  <c r="Y154" i="1" s="1"/>
  <c r="X142" i="1"/>
  <c r="P142" i="1"/>
  <c r="Q142" i="1" s="1"/>
  <c r="Q143" i="1"/>
  <c r="W22" i="1"/>
  <c r="X22" i="1"/>
  <c r="Y22" i="1" s="1"/>
  <c r="W38" i="1"/>
  <c r="X38" i="1"/>
  <c r="Y38" i="1" s="1"/>
  <c r="X16" i="1"/>
  <c r="Y16" i="1" s="1"/>
  <c r="W20" i="1"/>
  <c r="X20" i="1"/>
  <c r="Y20" i="1" s="1"/>
  <c r="W25" i="1"/>
  <c r="X25" i="1"/>
  <c r="Y25" i="1" s="1"/>
  <c r="W31" i="1"/>
  <c r="X31" i="1"/>
  <c r="Y31" i="1" s="1"/>
  <c r="W36" i="1"/>
  <c r="X36" i="1"/>
  <c r="Y36" i="1" s="1"/>
  <c r="X40" i="1"/>
  <c r="Y40" i="1" s="1"/>
  <c r="W40" i="1"/>
  <c r="X45" i="1"/>
  <c r="Y45" i="1" s="1"/>
  <c r="W45" i="1"/>
  <c r="X52" i="1"/>
  <c r="Y52" i="1" s="1"/>
  <c r="X56" i="1"/>
  <c r="Y56" i="1" s="1"/>
  <c r="X60" i="1"/>
  <c r="Y60" i="1" s="1"/>
  <c r="X66" i="1"/>
  <c r="Y66" i="1" s="1"/>
  <c r="X69" i="1"/>
  <c r="Y69" i="1" s="1"/>
  <c r="W75" i="1"/>
  <c r="X75" i="1"/>
  <c r="Y75" i="1" s="1"/>
  <c r="X80" i="1"/>
  <c r="Y80" i="1" s="1"/>
  <c r="X84" i="1"/>
  <c r="Y84" i="1" s="1"/>
  <c r="X90" i="1"/>
  <c r="Y90" i="1" s="1"/>
  <c r="W90" i="1"/>
  <c r="W94" i="1"/>
  <c r="X94" i="1"/>
  <c r="Y94" i="1" s="1"/>
  <c r="X98" i="1"/>
  <c r="Y98" i="1" s="1"/>
  <c r="W98" i="1"/>
  <c r="X102" i="1"/>
  <c r="Y102" i="1" s="1"/>
  <c r="W102" i="1"/>
  <c r="X107" i="1"/>
  <c r="Y107" i="1" s="1"/>
  <c r="X113" i="1"/>
  <c r="Y113" i="1" s="1"/>
  <c r="X117" i="1"/>
  <c r="Y117" i="1" s="1"/>
  <c r="W121" i="1"/>
  <c r="X121" i="1"/>
  <c r="Y121" i="1" s="1"/>
  <c r="W125" i="1"/>
  <c r="X125" i="1"/>
  <c r="Y125" i="1" s="1"/>
  <c r="W131" i="1"/>
  <c r="X131" i="1"/>
  <c r="Y131" i="1" s="1"/>
  <c r="Z131" i="1" s="1"/>
  <c r="X134" i="1"/>
  <c r="Y134" i="1" s="1"/>
  <c r="W140" i="1"/>
  <c r="X140" i="1"/>
  <c r="Y140" i="1" s="1"/>
  <c r="Z140" i="1" s="1"/>
  <c r="AA140" i="1" s="1"/>
  <c r="X144" i="1"/>
  <c r="Y144" i="1" s="1"/>
  <c r="Y143" i="1" s="1"/>
  <c r="Y142" i="1" s="1"/>
  <c r="W144" i="1"/>
  <c r="W150" i="1"/>
  <c r="X150" i="1"/>
  <c r="Y150" i="1" s="1"/>
  <c r="X143" i="1"/>
  <c r="X18" i="1"/>
  <c r="Y18" i="1" s="1"/>
  <c r="W18" i="1"/>
  <c r="W27" i="1"/>
  <c r="X27" i="1"/>
  <c r="Y27" i="1" s="1"/>
  <c r="X33" i="1"/>
  <c r="Y33" i="1" s="1"/>
  <c r="X43" i="1"/>
  <c r="Y43" i="1" s="1"/>
  <c r="W43" i="1"/>
  <c r="W50" i="1"/>
  <c r="X50" i="1"/>
  <c r="Y50" i="1" s="1"/>
  <c r="X54" i="1"/>
  <c r="Y54" i="1" s="1"/>
  <c r="X63" i="1"/>
  <c r="Y63" i="1" s="1"/>
  <c r="Y62" i="1" s="1"/>
  <c r="X73" i="1"/>
  <c r="Y73" i="1" s="1"/>
  <c r="X82" i="1"/>
  <c r="Y82" i="1" s="1"/>
  <c r="X92" i="1"/>
  <c r="Y92" i="1" s="1"/>
  <c r="W92" i="1"/>
  <c r="W100" i="1"/>
  <c r="X100" i="1"/>
  <c r="Y100" i="1" s="1"/>
  <c r="X109" i="1"/>
  <c r="Y109" i="1" s="1"/>
  <c r="X119" i="1"/>
  <c r="Y119" i="1" s="1"/>
  <c r="W138" i="1"/>
  <c r="X138" i="1"/>
  <c r="Y138" i="1" s="1"/>
  <c r="W148" i="1"/>
  <c r="X148" i="1"/>
  <c r="Y148" i="1" s="1"/>
  <c r="V62" i="1"/>
  <c r="V13" i="1"/>
  <c r="X13" i="1" s="1"/>
  <c r="Y13" i="1" s="1"/>
  <c r="X10" i="1"/>
  <c r="W17" i="1"/>
  <c r="X17" i="1"/>
  <c r="Y17" i="1" s="1"/>
  <c r="X21" i="1"/>
  <c r="Y21" i="1" s="1"/>
  <c r="W26" i="1"/>
  <c r="X26" i="1"/>
  <c r="Y26" i="1" s="1"/>
  <c r="W32" i="1"/>
  <c r="X32" i="1"/>
  <c r="Y32" i="1" s="1"/>
  <c r="W37" i="1"/>
  <c r="X37" i="1"/>
  <c r="Y37" i="1" s="1"/>
  <c r="W41" i="1"/>
  <c r="X41" i="1"/>
  <c r="Y41" i="1" s="1"/>
  <c r="X46" i="1"/>
  <c r="Y46" i="1" s="1"/>
  <c r="W46" i="1"/>
  <c r="X53" i="1"/>
  <c r="Y53" i="1" s="1"/>
  <c r="X57" i="1"/>
  <c r="Y57" i="1" s="1"/>
  <c r="X61" i="1"/>
  <c r="Y61" i="1" s="1"/>
  <c r="X67" i="1"/>
  <c r="Y67" i="1" s="1"/>
  <c r="X68" i="1"/>
  <c r="Y68" i="1" s="1"/>
  <c r="X76" i="1"/>
  <c r="Y76" i="1" s="1"/>
  <c r="X81" i="1"/>
  <c r="Y81" i="1" s="1"/>
  <c r="X85" i="1"/>
  <c r="Y85" i="1" s="1"/>
  <c r="W91" i="1"/>
  <c r="X91" i="1"/>
  <c r="Y91" i="1" s="1"/>
  <c r="X95" i="1"/>
  <c r="Y95" i="1" s="1"/>
  <c r="W95" i="1"/>
  <c r="X99" i="1"/>
  <c r="Y99" i="1" s="1"/>
  <c r="W99" i="1"/>
  <c r="X103" i="1"/>
  <c r="Y103" i="1" s="1"/>
  <c r="W103" i="1"/>
  <c r="X108" i="1"/>
  <c r="Y108" i="1" s="1"/>
  <c r="X114" i="1"/>
  <c r="Y114" i="1" s="1"/>
  <c r="X118" i="1"/>
  <c r="Y118" i="1" s="1"/>
  <c r="W122" i="1"/>
  <c r="X122" i="1"/>
  <c r="Y122" i="1" s="1"/>
  <c r="X126" i="1"/>
  <c r="Y126" i="1" s="1"/>
  <c r="W126" i="1"/>
  <c r="X132" i="1"/>
  <c r="Y132" i="1" s="1"/>
  <c r="X135" i="1"/>
  <c r="Y135" i="1" s="1"/>
  <c r="W137" i="1"/>
  <c r="X137" i="1"/>
  <c r="Y137" i="1" s="1"/>
  <c r="W147" i="1"/>
  <c r="X147" i="1"/>
  <c r="Y147" i="1" s="1"/>
  <c r="W151" i="1"/>
  <c r="X151" i="1"/>
  <c r="Y151" i="1" s="1"/>
  <c r="X155" i="1"/>
  <c r="Y155" i="1" s="1"/>
  <c r="P145" i="1"/>
  <c r="Q145" i="1" s="1"/>
  <c r="Q146" i="1"/>
  <c r="P128" i="1"/>
  <c r="Q128" i="1" s="1"/>
  <c r="Q129" i="1"/>
  <c r="P110" i="1"/>
  <c r="Q110" i="1" s="1"/>
  <c r="Q111" i="1"/>
  <c r="P88" i="1"/>
  <c r="Q88" i="1" s="1"/>
  <c r="Q89" i="1"/>
  <c r="N9" i="1"/>
  <c r="O9" i="1" s="1"/>
  <c r="O13" i="1"/>
  <c r="N142" i="1"/>
  <c r="O142" i="1" s="1"/>
  <c r="O143" i="1"/>
  <c r="U23" i="1"/>
  <c r="N145" i="1"/>
  <c r="O145" i="1" s="1"/>
  <c r="O146" i="1"/>
  <c r="N128" i="1"/>
  <c r="O128" i="1" s="1"/>
  <c r="O129" i="1"/>
  <c r="N110" i="1"/>
  <c r="O110" i="1" s="1"/>
  <c r="O111" i="1"/>
  <c r="N88" i="1"/>
  <c r="O88" i="1" s="1"/>
  <c r="V28" i="1"/>
  <c r="W29" i="1"/>
  <c r="T9" i="1"/>
  <c r="U9" i="1" s="1"/>
  <c r="U13" i="1"/>
  <c r="U49" i="1"/>
  <c r="U104" i="1"/>
  <c r="U143" i="1"/>
  <c r="U152" i="1"/>
  <c r="U35" i="1"/>
  <c r="U79" i="1"/>
  <c r="T88" i="1"/>
  <c r="U88" i="1" s="1"/>
  <c r="U89" i="1"/>
  <c r="T145" i="1"/>
  <c r="U145" i="1" s="1"/>
  <c r="U146" i="1"/>
  <c r="U28" i="1"/>
  <c r="T110" i="1"/>
  <c r="U110" i="1" s="1"/>
  <c r="U111" i="1"/>
  <c r="U42" i="1"/>
  <c r="U14" i="1"/>
  <c r="U30" i="1"/>
  <c r="U62" i="1"/>
  <c r="U72" i="1"/>
  <c r="T128" i="1"/>
  <c r="U128" i="1" s="1"/>
  <c r="U129" i="1"/>
  <c r="L145" i="1"/>
  <c r="M146" i="1"/>
  <c r="L142" i="1"/>
  <c r="M143" i="1"/>
  <c r="L88" i="1"/>
  <c r="M89" i="1"/>
  <c r="L9" i="1"/>
  <c r="M13" i="1"/>
  <c r="L128" i="1"/>
  <c r="M129" i="1"/>
  <c r="L110" i="1"/>
  <c r="M111" i="1"/>
  <c r="P8" i="1"/>
  <c r="Q8" i="1" s="1"/>
  <c r="R8" i="1"/>
  <c r="R6" i="1" s="1"/>
  <c r="R4" i="1" s="1"/>
  <c r="S48" i="1"/>
  <c r="S47" i="1" s="1"/>
  <c r="K8" i="1"/>
  <c r="K6" i="1" s="1"/>
  <c r="K4" i="1" s="1"/>
  <c r="I8" i="1"/>
  <c r="I6" i="1" s="1"/>
  <c r="I4" i="1" s="1"/>
  <c r="V146" i="1"/>
  <c r="X146" i="1" s="1"/>
  <c r="H48" i="1"/>
  <c r="H47" i="1" s="1"/>
  <c r="V35" i="1"/>
  <c r="J8" i="1"/>
  <c r="J6" i="1" s="1"/>
  <c r="J4" i="1" s="1"/>
  <c r="V152" i="1"/>
  <c r="V111" i="1"/>
  <c r="X111" i="1" s="1"/>
  <c r="V49" i="1"/>
  <c r="V104" i="1"/>
  <c r="V64" i="1"/>
  <c r="V72" i="1"/>
  <c r="V23" i="1"/>
  <c r="G8" i="1"/>
  <c r="G6" i="1" s="1"/>
  <c r="G4" i="1" s="1"/>
  <c r="V42" i="1"/>
  <c r="V129" i="1"/>
  <c r="X129" i="1" s="1"/>
  <c r="V89" i="1"/>
  <c r="X89" i="1" s="1"/>
  <c r="V79" i="1"/>
  <c r="J48" i="1"/>
  <c r="J47" i="1" s="1"/>
  <c r="P48" i="1"/>
  <c r="H8" i="1"/>
  <c r="H6" i="1" s="1"/>
  <c r="H4" i="1" s="1"/>
  <c r="S8" i="1"/>
  <c r="S6" i="1" s="1"/>
  <c r="S4" i="1" s="1"/>
  <c r="G48" i="1"/>
  <c r="G47" i="1" s="1"/>
  <c r="K48" i="1"/>
  <c r="K47" i="1" s="1"/>
  <c r="R48" i="1"/>
  <c r="R47" i="1" s="1"/>
  <c r="L48" i="1"/>
  <c r="I48" i="1"/>
  <c r="I47" i="1" s="1"/>
  <c r="N48" i="1"/>
  <c r="T48" i="1"/>
  <c r="F48" i="1"/>
  <c r="F47" i="1" s="1"/>
  <c r="F8" i="1"/>
  <c r="F6" i="1" s="1"/>
  <c r="F4" i="1" s="1"/>
  <c r="I13" i="4"/>
  <c r="I14" i="4" s="1"/>
  <c r="AI140" i="1" l="1"/>
  <c r="AG140" i="1"/>
  <c r="AK140" i="1"/>
  <c r="AM140" i="1" s="1"/>
  <c r="AO140" i="1" s="1"/>
  <c r="AQ140" i="1" s="1"/>
  <c r="AS140" i="1" s="1"/>
  <c r="AU140" i="1" s="1"/>
  <c r="AW140" i="1" s="1"/>
  <c r="AY140" i="1" s="1"/>
  <c r="BA140" i="1" s="1"/>
  <c r="BC140" i="1" s="1"/>
  <c r="BE140" i="1"/>
  <c r="AB110" i="1"/>
  <c r="AB9" i="1"/>
  <c r="AB142" i="1"/>
  <c r="AB128" i="1"/>
  <c r="AB145" i="1"/>
  <c r="AB48" i="1"/>
  <c r="AB88" i="1"/>
  <c r="Y10" i="1"/>
  <c r="Z10" i="1" s="1"/>
  <c r="AA10" i="1" s="1"/>
  <c r="V9" i="1"/>
  <c r="X9" i="1" s="1"/>
  <c r="AA131" i="1"/>
  <c r="Z129" i="1"/>
  <c r="M110" i="1"/>
  <c r="M142" i="1"/>
  <c r="M128" i="1"/>
  <c r="M88" i="1"/>
  <c r="M145" i="1"/>
  <c r="M9" i="1"/>
  <c r="L8" i="1"/>
  <c r="Y35" i="1"/>
  <c r="Y49" i="1"/>
  <c r="Y152" i="1"/>
  <c r="Y104" i="1"/>
  <c r="X30" i="1"/>
  <c r="X104" i="1"/>
  <c r="T8" i="1"/>
  <c r="T6" i="1" s="1"/>
  <c r="Y146" i="1"/>
  <c r="Y145" i="1" s="1"/>
  <c r="X62" i="1"/>
  <c r="X64" i="1"/>
  <c r="X28" i="1"/>
  <c r="X42" i="1"/>
  <c r="X23" i="1"/>
  <c r="X49" i="1"/>
  <c r="N8" i="1"/>
  <c r="N6" i="1" s="1"/>
  <c r="O6" i="1" s="1"/>
  <c r="Y72" i="1"/>
  <c r="Y30" i="1"/>
  <c r="Y111" i="1"/>
  <c r="Y110" i="1" s="1"/>
  <c r="Y64" i="1"/>
  <c r="Y23" i="1"/>
  <c r="Y14" i="1"/>
  <c r="X14" i="1"/>
  <c r="X152" i="1"/>
  <c r="X79" i="1"/>
  <c r="X72" i="1"/>
  <c r="X35" i="1"/>
  <c r="Y42" i="1"/>
  <c r="Y89" i="1"/>
  <c r="Y88" i="1" s="1"/>
  <c r="Y79" i="1"/>
  <c r="Y129" i="1"/>
  <c r="Y128" i="1" s="1"/>
  <c r="P47" i="1"/>
  <c r="Q47" i="1" s="1"/>
  <c r="Q48" i="1"/>
  <c r="P6" i="1"/>
  <c r="Q6" i="1" s="1"/>
  <c r="N47" i="1"/>
  <c r="O47" i="1" s="1"/>
  <c r="O48" i="1"/>
  <c r="T47" i="1"/>
  <c r="U47" i="1" s="1"/>
  <c r="U48" i="1"/>
  <c r="V110" i="1"/>
  <c r="V88" i="1"/>
  <c r="L47" i="1"/>
  <c r="M48" i="1"/>
  <c r="V128" i="1"/>
  <c r="V145" i="1"/>
  <c r="V48" i="1"/>
  <c r="X48" i="1" s="1"/>
  <c r="E29" i="1"/>
  <c r="E36" i="1"/>
  <c r="E37" i="1"/>
  <c r="E38" i="1"/>
  <c r="E39" i="1"/>
  <c r="E40" i="1"/>
  <c r="E41" i="1"/>
  <c r="E43" i="1"/>
  <c r="E44" i="1"/>
  <c r="E45" i="1"/>
  <c r="E46" i="1"/>
  <c r="E50" i="1"/>
  <c r="E51" i="1"/>
  <c r="E75" i="1"/>
  <c r="E95" i="1"/>
  <c r="E106" i="1"/>
  <c r="E112" i="1"/>
  <c r="E120" i="1"/>
  <c r="E121" i="1"/>
  <c r="E122" i="1"/>
  <c r="E123" i="1"/>
  <c r="E124" i="1"/>
  <c r="E125" i="1"/>
  <c r="E126" i="1"/>
  <c r="E127" i="1"/>
  <c r="E131" i="1"/>
  <c r="E136" i="1"/>
  <c r="E137" i="1"/>
  <c r="E138" i="1"/>
  <c r="E139" i="1"/>
  <c r="E140" i="1"/>
  <c r="E141" i="1"/>
  <c r="E144" i="1"/>
  <c r="E147" i="1"/>
  <c r="E148" i="1"/>
  <c r="E149" i="1"/>
  <c r="E150" i="1"/>
  <c r="E151" i="1"/>
  <c r="D23" i="1"/>
  <c r="W23" i="1" s="1"/>
  <c r="AA9" i="1" l="1"/>
  <c r="AA8" i="1" s="1"/>
  <c r="AG10" i="1"/>
  <c r="AI10" i="1"/>
  <c r="AK10" i="1" s="1"/>
  <c r="AM10" i="1"/>
  <c r="AO10" i="1"/>
  <c r="AQ10" i="1"/>
  <c r="AS10" i="1"/>
  <c r="AU10" i="1"/>
  <c r="AW10" i="1"/>
  <c r="AY10" i="1"/>
  <c r="BA10" i="1"/>
  <c r="BC10" i="1"/>
  <c r="BE10" i="1"/>
  <c r="AA129" i="1"/>
  <c r="AI131" i="1"/>
  <c r="AG131" i="1"/>
  <c r="AK131" i="1"/>
  <c r="AM131" i="1"/>
  <c r="AO131" i="1"/>
  <c r="AQ131" i="1"/>
  <c r="AS131" i="1"/>
  <c r="AU131" i="1"/>
  <c r="AW131" i="1"/>
  <c r="AY131" i="1"/>
  <c r="BA131" i="1"/>
  <c r="BC131" i="1"/>
  <c r="BE131" i="1"/>
  <c r="AB47" i="1"/>
  <c r="L6" i="1"/>
  <c r="AB6" i="1" s="1"/>
  <c r="AB8" i="1"/>
  <c r="M8" i="1"/>
  <c r="D7" i="3"/>
  <c r="Y9" i="1"/>
  <c r="Y8" i="1" s="1"/>
  <c r="Y6" i="1" s="1"/>
  <c r="Y4" i="1" s="1"/>
  <c r="V8" i="1"/>
  <c r="X8" i="1" s="1"/>
  <c r="M47" i="1"/>
  <c r="O8" i="1"/>
  <c r="U8" i="1"/>
  <c r="Y48" i="1"/>
  <c r="Y47" i="1" s="1"/>
  <c r="X128" i="1"/>
  <c r="X88" i="1"/>
  <c r="X145" i="1"/>
  <c r="X110" i="1"/>
  <c r="P4" i="1"/>
  <c r="Q4" i="1" s="1"/>
  <c r="N4" i="1"/>
  <c r="O4" i="1" s="1"/>
  <c r="T4" i="1"/>
  <c r="U4" i="1" s="1"/>
  <c r="U6" i="1"/>
  <c r="V47" i="1"/>
  <c r="D89" i="1"/>
  <c r="W89" i="1" s="1"/>
  <c r="AA6" i="1" l="1"/>
  <c r="AG8" i="1"/>
  <c r="AI8" i="1"/>
  <c r="AK8" i="1"/>
  <c r="AM8" i="1"/>
  <c r="AO8" i="1"/>
  <c r="AQ8" i="1"/>
  <c r="AS8" i="1"/>
  <c r="AU8" i="1"/>
  <c r="AW8" i="1"/>
  <c r="AY8" i="1"/>
  <c r="BA8" i="1"/>
  <c r="BC8" i="1"/>
  <c r="BE8" i="1"/>
  <c r="AA128" i="1"/>
  <c r="AK129" i="1"/>
  <c r="AG129" i="1"/>
  <c r="AI129" i="1"/>
  <c r="AM129" i="1"/>
  <c r="AO129" i="1"/>
  <c r="AQ129" i="1"/>
  <c r="AS129" i="1"/>
  <c r="AU129" i="1"/>
  <c r="AW129" i="1"/>
  <c r="AY129" i="1"/>
  <c r="BA129" i="1"/>
  <c r="BC129" i="1"/>
  <c r="BE129" i="1"/>
  <c r="AI9" i="1"/>
  <c r="AG9" i="1"/>
  <c r="AM9" i="1"/>
  <c r="AK9" i="1"/>
  <c r="AO9" i="1"/>
  <c r="AQ9" i="1"/>
  <c r="AS9" i="1"/>
  <c r="AU9" i="1"/>
  <c r="AW9" i="1"/>
  <c r="AY9" i="1"/>
  <c r="BA9" i="1"/>
  <c r="BC9" i="1"/>
  <c r="BE9" i="1"/>
  <c r="V6" i="1"/>
  <c r="X6" i="1" s="1"/>
  <c r="M6" i="1"/>
  <c r="L4" i="1"/>
  <c r="AB4" i="1" s="1"/>
  <c r="X47" i="1"/>
  <c r="D42" i="1"/>
  <c r="W42" i="1" s="1"/>
  <c r="F14" i="3" l="1"/>
  <c r="AK128" i="1"/>
  <c r="AI128" i="1"/>
  <c r="AG128" i="1"/>
  <c r="AM128" i="1"/>
  <c r="AO128" i="1"/>
  <c r="AQ128" i="1"/>
  <c r="AS128" i="1"/>
  <c r="AU128" i="1"/>
  <c r="AW128" i="1"/>
  <c r="AY128" i="1"/>
  <c r="BA128" i="1"/>
  <c r="BC128" i="1"/>
  <c r="BE128" i="1"/>
  <c r="AA47" i="1"/>
  <c r="AI6" i="1"/>
  <c r="AG6" i="1"/>
  <c r="AK6" i="1"/>
  <c r="AO6" i="1"/>
  <c r="AM6" i="1"/>
  <c r="AQ6" i="1"/>
  <c r="AS6" i="1"/>
  <c r="AU6" i="1"/>
  <c r="AW6" i="1"/>
  <c r="AY6" i="1"/>
  <c r="BA6" i="1"/>
  <c r="BC6" i="1"/>
  <c r="BE6" i="1"/>
  <c r="V4" i="1"/>
  <c r="X4" i="1" s="1"/>
  <c r="M4" i="1"/>
  <c r="D146" i="1"/>
  <c r="W146" i="1" s="1"/>
  <c r="D88" i="1"/>
  <c r="W88" i="1" s="1"/>
  <c r="D143" i="1"/>
  <c r="D28" i="1"/>
  <c r="W28" i="1" s="1"/>
  <c r="D87" i="1"/>
  <c r="D80" i="1"/>
  <c r="D63" i="1"/>
  <c r="W63" i="1" s="1"/>
  <c r="D107" i="1"/>
  <c r="W107" i="1" s="1"/>
  <c r="D108" i="1"/>
  <c r="W108" i="1" s="1"/>
  <c r="D109" i="1"/>
  <c r="D105" i="1"/>
  <c r="W105" i="1" s="1"/>
  <c r="D155" i="1"/>
  <c r="W155" i="1" s="1"/>
  <c r="D154" i="1"/>
  <c r="W154" i="1" s="1"/>
  <c r="D71" i="1"/>
  <c r="D67" i="1"/>
  <c r="D66" i="1"/>
  <c r="D132" i="1"/>
  <c r="D133" i="1"/>
  <c r="D134" i="1"/>
  <c r="W134" i="1" s="1"/>
  <c r="D135" i="1"/>
  <c r="D130" i="1"/>
  <c r="D114" i="1"/>
  <c r="D115" i="1"/>
  <c r="D116" i="1"/>
  <c r="D117" i="1"/>
  <c r="D118" i="1"/>
  <c r="D119" i="1"/>
  <c r="D113" i="1"/>
  <c r="W113" i="1" s="1"/>
  <c r="D21" i="1"/>
  <c r="W21" i="1" s="1"/>
  <c r="D16" i="1"/>
  <c r="W16" i="1" s="1"/>
  <c r="D61" i="1"/>
  <c r="D60" i="1"/>
  <c r="D59" i="1"/>
  <c r="D58" i="1"/>
  <c r="D57" i="1"/>
  <c r="D56" i="1"/>
  <c r="D55" i="1"/>
  <c r="D54" i="1"/>
  <c r="D53" i="1"/>
  <c r="D52" i="1"/>
  <c r="AI47" i="1" l="1"/>
  <c r="AG47" i="1"/>
  <c r="AK47" i="1"/>
  <c r="AM47" i="1"/>
  <c r="AO47" i="1"/>
  <c r="AQ47" i="1"/>
  <c r="AS47" i="1"/>
  <c r="AU47" i="1"/>
  <c r="AW47" i="1"/>
  <c r="AY47" i="1"/>
  <c r="BA47" i="1"/>
  <c r="BC47" i="1"/>
  <c r="BE47" i="1"/>
  <c r="E117" i="1"/>
  <c r="W117" i="1"/>
  <c r="E87" i="1"/>
  <c r="W87" i="1"/>
  <c r="E52" i="1"/>
  <c r="W52" i="1"/>
  <c r="E56" i="1"/>
  <c r="W56" i="1"/>
  <c r="E60" i="1"/>
  <c r="W60" i="1"/>
  <c r="E116" i="1"/>
  <c r="W116" i="1"/>
  <c r="E135" i="1"/>
  <c r="W135" i="1"/>
  <c r="E66" i="1"/>
  <c r="W66" i="1"/>
  <c r="E132" i="1"/>
  <c r="W132" i="1"/>
  <c r="E53" i="1"/>
  <c r="W53" i="1"/>
  <c r="E57" i="1"/>
  <c r="W57" i="1"/>
  <c r="E61" i="1"/>
  <c r="W61" i="1"/>
  <c r="E119" i="1"/>
  <c r="W119" i="1"/>
  <c r="E115" i="1"/>
  <c r="W115" i="1"/>
  <c r="E67" i="1"/>
  <c r="W67" i="1"/>
  <c r="E143" i="1"/>
  <c r="W143" i="1"/>
  <c r="E55" i="1"/>
  <c r="W55" i="1"/>
  <c r="E59" i="1"/>
  <c r="W59" i="1"/>
  <c r="E130" i="1"/>
  <c r="W130" i="1"/>
  <c r="E54" i="1"/>
  <c r="W54" i="1"/>
  <c r="E58" i="1"/>
  <c r="W58" i="1"/>
  <c r="E118" i="1"/>
  <c r="W118" i="1"/>
  <c r="E114" i="1"/>
  <c r="W114" i="1"/>
  <c r="E133" i="1"/>
  <c r="W133" i="1"/>
  <c r="E71" i="1"/>
  <c r="W71" i="1"/>
  <c r="E109" i="1"/>
  <c r="W109" i="1"/>
  <c r="E80" i="1"/>
  <c r="W80" i="1"/>
  <c r="D153" i="1"/>
  <c r="W153" i="1" s="1"/>
  <c r="E113" i="1"/>
  <c r="D111" i="1"/>
  <c r="D62" i="1"/>
  <c r="W62" i="1" s="1"/>
  <c r="E63" i="1"/>
  <c r="E146" i="1"/>
  <c r="E21" i="1"/>
  <c r="D65" i="1"/>
  <c r="D145" i="1"/>
  <c r="D142" i="1"/>
  <c r="D49" i="1"/>
  <c r="W49" i="1" s="1"/>
  <c r="D104" i="1"/>
  <c r="W104" i="1" s="1"/>
  <c r="D152" i="1" l="1"/>
  <c r="W152" i="1" s="1"/>
  <c r="E65" i="1"/>
  <c r="W65" i="1"/>
  <c r="E142" i="1"/>
  <c r="W142" i="1"/>
  <c r="D110" i="1"/>
  <c r="W110" i="1" s="1"/>
  <c r="W111" i="1"/>
  <c r="E145" i="1"/>
  <c r="W145" i="1"/>
  <c r="D76" i="1"/>
  <c r="D74" i="1"/>
  <c r="E74" i="1" l="1"/>
  <c r="W74" i="1"/>
  <c r="E76" i="1"/>
  <c r="W76" i="1"/>
  <c r="D73" i="1"/>
  <c r="E73" i="1" l="1"/>
  <c r="W73" i="1"/>
  <c r="D68" i="1"/>
  <c r="D70" i="1"/>
  <c r="E70" i="1" l="1"/>
  <c r="W70" i="1"/>
  <c r="E68" i="1"/>
  <c r="W68" i="1"/>
  <c r="D33" i="1"/>
  <c r="D30" i="1" s="1"/>
  <c r="W30" i="1" s="1"/>
  <c r="AA4" i="1" s="1"/>
  <c r="D69" i="1"/>
  <c r="D77" i="1"/>
  <c r="AI4" i="1" l="1"/>
  <c r="AG4" i="1"/>
  <c r="AK4" i="1"/>
  <c r="AM4" i="1"/>
  <c r="AO4" i="1"/>
  <c r="AQ4" i="1"/>
  <c r="AS4" i="1"/>
  <c r="AU4" i="1"/>
  <c r="AW4" i="1"/>
  <c r="AY4" i="1"/>
  <c r="BA4" i="1"/>
  <c r="BC4" i="1"/>
  <c r="BE4" i="1"/>
  <c r="E77" i="1"/>
  <c r="W77" i="1"/>
  <c r="E69" i="1"/>
  <c r="W69" i="1"/>
  <c r="E33" i="1"/>
  <c r="W33" i="1"/>
  <c r="D64" i="1"/>
  <c r="W64" i="1" s="1"/>
  <c r="D86" i="1" l="1"/>
  <c r="D85" i="1"/>
  <c r="D84" i="1"/>
  <c r="D83" i="1"/>
  <c r="D82" i="1"/>
  <c r="E85" i="1" l="1"/>
  <c r="W85" i="1"/>
  <c r="E82" i="1"/>
  <c r="W82" i="1"/>
  <c r="E86" i="1"/>
  <c r="W86" i="1"/>
  <c r="E83" i="1"/>
  <c r="W83" i="1"/>
  <c r="E84" i="1"/>
  <c r="W84" i="1"/>
  <c r="D81" i="1"/>
  <c r="D78" i="1"/>
  <c r="D129" i="1"/>
  <c r="W129" i="1" s="1"/>
  <c r="D35" i="1"/>
  <c r="W35" i="1" s="1"/>
  <c r="E78" i="1" l="1"/>
  <c r="W78" i="1"/>
  <c r="E81" i="1"/>
  <c r="W81" i="1"/>
  <c r="D79" i="1"/>
  <c r="W79" i="1" s="1"/>
  <c r="D72" i="1"/>
  <c r="W72" i="1" s="1"/>
  <c r="D128" i="1"/>
  <c r="W128" i="1" s="1"/>
  <c r="E24" i="1"/>
  <c r="D15" i="1"/>
  <c r="D48" i="1" l="1"/>
  <c r="W48" i="1" s="1"/>
  <c r="E15" i="1"/>
  <c r="W15" i="1"/>
  <c r="E26" i="1"/>
  <c r="E27" i="1"/>
  <c r="E25" i="1"/>
  <c r="D14" i="1"/>
  <c r="E17" i="1"/>
  <c r="E16" i="1"/>
  <c r="E22" i="1"/>
  <c r="D47" i="1" l="1"/>
  <c r="W47" i="1" s="1"/>
  <c r="W14" i="1"/>
  <c r="E23" i="1"/>
  <c r="E111" i="1"/>
  <c r="G4" i="4" l="1"/>
  <c r="D4" i="4"/>
  <c r="E4" i="4" s="1"/>
  <c r="G3" i="4"/>
  <c r="D3" i="4"/>
  <c r="E3" i="4" s="1"/>
  <c r="D5" i="4"/>
  <c r="E5" i="4" s="1"/>
  <c r="D6" i="4"/>
  <c r="E6" i="4" s="1"/>
  <c r="D7" i="4"/>
  <c r="E7" i="4" s="1"/>
  <c r="D8" i="4"/>
  <c r="E8" i="4" s="1"/>
  <c r="D9" i="4"/>
  <c r="E9" i="4" s="1"/>
  <c r="D10" i="4"/>
  <c r="E10" i="4" s="1"/>
  <c r="D11" i="4"/>
  <c r="E11" i="4" s="1"/>
  <c r="B12" i="4"/>
  <c r="D34" i="4"/>
  <c r="E12" i="4" l="1"/>
  <c r="D12" i="4"/>
  <c r="H16" i="3"/>
  <c r="E35" i="1"/>
  <c r="E28" i="1"/>
  <c r="D10" i="1" l="1"/>
  <c r="E42" i="1"/>
  <c r="H18" i="3"/>
  <c r="E79" i="1"/>
  <c r="C10" i="1" l="1"/>
  <c r="Q10" i="1" s="1"/>
  <c r="W10" i="1"/>
  <c r="D13" i="1"/>
  <c r="W13" i="1" s="1"/>
  <c r="E10" i="1"/>
  <c r="E110" i="1"/>
  <c r="H13" i="3"/>
  <c r="E72" i="1"/>
  <c r="E64" i="1"/>
  <c r="E62" i="1"/>
  <c r="E49" i="1"/>
  <c r="G14" i="4"/>
  <c r="G5" i="4"/>
  <c r="G6" i="4"/>
  <c r="G7" i="4"/>
  <c r="G8" i="4"/>
  <c r="E31" i="1"/>
  <c r="M10" i="1" l="1"/>
  <c r="O10" i="1"/>
  <c r="E32" i="1"/>
  <c r="G15" i="4"/>
  <c r="D14" i="4"/>
  <c r="E14" i="4" s="1"/>
  <c r="D11" i="1" l="1"/>
  <c r="E48" i="1"/>
  <c r="E30" i="1"/>
  <c r="D9" i="1" l="1"/>
  <c r="W9" i="1" s="1"/>
  <c r="W11" i="1"/>
  <c r="E11" i="1"/>
  <c r="E19" i="1"/>
  <c r="E13" i="1"/>
  <c r="E134" i="1"/>
  <c r="D8" i="1" l="1"/>
  <c r="D6" i="1" s="1"/>
  <c r="C6" i="3"/>
  <c r="C4" i="3" s="1"/>
  <c r="E14" i="1"/>
  <c r="E93" i="1"/>
  <c r="E94" i="1"/>
  <c r="E98" i="1"/>
  <c r="E102" i="1"/>
  <c r="E97" i="1"/>
  <c r="E90" i="1"/>
  <c r="E99" i="1"/>
  <c r="E103" i="1"/>
  <c r="E101" i="1"/>
  <c r="E91" i="1"/>
  <c r="E96" i="1"/>
  <c r="E100" i="1"/>
  <c r="E92" i="1"/>
  <c r="E129" i="1"/>
  <c r="E9" i="1"/>
  <c r="E89" i="1"/>
  <c r="W8" i="1" l="1"/>
  <c r="D4" i="1"/>
  <c r="W4" i="1" s="1"/>
  <c r="W6" i="1"/>
  <c r="E128" i="1"/>
  <c r="B10" i="3"/>
  <c r="E8" i="1"/>
  <c r="H15" i="3"/>
  <c r="E107" i="1"/>
  <c r="E88" i="1" l="1"/>
  <c r="H14" i="3"/>
  <c r="E4" i="1" l="1"/>
  <c r="E6" i="1"/>
  <c r="E108" i="1" l="1"/>
  <c r="E105" i="1" l="1"/>
  <c r="E104" i="1" l="1"/>
  <c r="E153" i="1" l="1"/>
  <c r="E155" i="1" l="1"/>
  <c r="E154" i="1" l="1"/>
  <c r="E152" i="1" l="1"/>
  <c r="F6" i="3"/>
  <c r="H6" i="3" s="1"/>
  <c r="E47" i="1"/>
  <c r="F4" i="3" l="1"/>
  <c r="H4" i="3" l="1"/>
  <c r="I4" i="3"/>
</calcChain>
</file>

<file path=xl/comments1.xml><?xml version="1.0" encoding="utf-8"?>
<comments xmlns="http://schemas.openxmlformats.org/spreadsheetml/2006/main">
  <authors>
    <author>Microsoft Office User</author>
    <author>YCSA</author>
    <author>João Carlos Mazzuco</author>
    <author>Irene</author>
    <author>Peter Pondorf</author>
  </authors>
  <commentList>
    <comment ref="AA4" authorId="0" shapeId="0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Rec custeio +
</t>
        </r>
        <r>
          <rPr>
            <sz val="10"/>
            <color rgb="FF000000"/>
            <rFont val="Tahoma"/>
            <family val="2"/>
          </rPr>
          <t>Rec eventuais</t>
        </r>
      </text>
    </comment>
    <comment ref="AA6" authorId="0" shapeId="0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Contr sociais +
</t>
        </r>
        <r>
          <rPr>
            <sz val="10"/>
            <color rgb="FF000000"/>
            <rFont val="Tahoma"/>
            <family val="2"/>
          </rPr>
          <t xml:space="preserve">Rec curso de vela +
</t>
        </r>
        <r>
          <rPr>
            <sz val="10"/>
            <color rgb="FF000000"/>
            <rFont val="Tahoma"/>
            <family val="2"/>
          </rPr>
          <t xml:space="preserve">Rec financ +
</t>
        </r>
        <r>
          <rPr>
            <sz val="10"/>
            <color rgb="FF000000"/>
            <rFont val="Tahoma"/>
            <family val="2"/>
          </rPr>
          <t xml:space="preserve">Rec dir vela +
</t>
        </r>
        <r>
          <rPr>
            <sz val="10"/>
            <color rgb="FF000000"/>
            <rFont val="Tahoma"/>
            <family val="2"/>
          </rPr>
          <t>Rec dir social</t>
        </r>
      </text>
    </comment>
    <comment ref="AA8" authorId="0" shapeId="0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Rec socias + rec serviços diversos</t>
        </r>
      </text>
    </comment>
    <comment ref="B10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 xml:space="preserve">Consideramos a entrada de 10 novos sócios e saída de 7
</t>
        </r>
      </text>
    </comment>
    <comment ref="Y10" authorId="2" shapeId="0">
      <text>
        <r>
          <rPr>
            <b/>
            <sz val="9"/>
            <color indexed="81"/>
            <rFont val="Segoe UI"/>
            <family val="2"/>
          </rPr>
          <t>João Carlos Mazzuco:</t>
        </r>
        <r>
          <rPr>
            <sz val="9"/>
            <color indexed="81"/>
            <rFont val="Segoe UI"/>
            <family val="2"/>
          </rPr>
          <t xml:space="preserve">
Ajuste contribuição temporária até agosto
R$ 100</t>
        </r>
      </text>
    </comment>
    <comment ref="B11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16 sócios esportistas</t>
        </r>
      </text>
    </comment>
    <comment ref="B12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Considerando a entrada de 10 novos sócios e saíde de 7
</t>
        </r>
      </text>
    </comment>
    <comment ref="B16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média histórica</t>
        </r>
      </text>
    </comment>
    <comment ref="B17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média histórica</t>
        </r>
      </text>
    </comment>
    <comment ref="B18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média histórica - utlização bolão pelos veteranos as terças e quintas</t>
        </r>
      </text>
    </comment>
    <comment ref="B19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Nesse valor consideramos aluguel, eletropaulo, IPTU. Falta estimar o valor referente ao percentual sobre faturamento</t>
        </r>
      </text>
    </comment>
    <comment ref="B21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Camisetas, bonés, malas vendidas pelo clube. Consideramos média histórica</t>
        </r>
      </text>
    </comment>
    <comment ref="B22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os valores dos convites sociais pagos pelos sócios e os valores pagos por parceiros como Bruno da Atlantimar</t>
        </r>
      </text>
    </comment>
    <comment ref="B23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Para a escola de vela consideramos orçamento 2020
</t>
        </r>
      </text>
    </comment>
    <comment ref="B28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Estimativa rendimento aplicações</t>
        </r>
      </text>
    </comment>
    <comment ref="B31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considerando a entrada de 10 novos sócios, porém 05 vindos da EV com desconto de 20% e o restante normal</t>
        </r>
      </text>
    </comment>
    <comment ref="B33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 histórica</t>
        </r>
      </text>
    </comment>
    <comment ref="B36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eventos pontuais onde há locação de embarcações e serviços de skipper</t>
        </r>
      </text>
    </comment>
    <comment ref="B41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Esse valor varia conforme calendário de treinos e número de esportistas. O valor dos custos com ténico e alimentação é rateado entre os participantes.</t>
        </r>
      </text>
    </comment>
    <comment ref="B44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média histórica</t>
        </r>
      </text>
    </comment>
    <comment ref="B45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Consideramos a média histórica</t>
        </r>
      </text>
    </comment>
    <comment ref="B50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 referente folha atual + reajuste de 4%</t>
        </r>
      </text>
    </comment>
    <comment ref="B52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Comissões Leandro e Sueli</t>
        </r>
      </text>
    </comment>
    <comment ref="B53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com base na proposta para folha</t>
        </r>
      </text>
    </comment>
    <comment ref="B54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Valor simbólico, para caso haja alguma movimentação</t>
        </r>
      </text>
    </comment>
    <comment ref="B55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 conforme folha</t>
        </r>
      </text>
    </comment>
    <comment ref="B56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conforme folha</t>
        </r>
      </text>
    </comment>
    <comment ref="B57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conforme folha / equipe atual</t>
        </r>
      </text>
    </comment>
    <comment ref="B58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 histórica conforme folha / equipe atual</t>
        </r>
      </text>
    </comment>
    <comment ref="B59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Previsão para cursos de capacitação como eletricista, pedreiro, carpinteiro, treinamento em trabalho em alturas, etc...</t>
        </r>
      </text>
    </comment>
    <comment ref="B60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
</t>
        </r>
      </text>
    </comment>
    <comment ref="B61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
</t>
        </r>
      </text>
    </comment>
    <comment ref="B63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 histórica</t>
        </r>
      </text>
    </comment>
    <comment ref="B64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Consideramos a média histórica reajustada 
</t>
        </r>
      </text>
    </comment>
    <comment ref="AL71" authorId="3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medicamento sr geraldo - reembolso
</t>
        </r>
      </text>
    </comment>
    <comment ref="B73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</t>
        </r>
      </text>
    </comment>
    <comment ref="B74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</t>
        </r>
      </text>
    </comment>
    <comment ref="B75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Média</t>
        </r>
      </text>
    </comment>
    <comment ref="B76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 xml:space="preserve">salva vidas autonomos - consideramos a utilização em metade dos finais de semana do ano
</t>
        </r>
        <r>
          <rPr>
            <sz val="9"/>
            <color rgb="FF000000"/>
            <rFont val="Segoe UI"/>
            <family val="2"/>
          </rPr>
          <t xml:space="preserve">
</t>
        </r>
      </text>
    </comment>
    <comment ref="B77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 xml:space="preserve">02 faxineiros full time e 01 jardineiro uma vez por semana
</t>
        </r>
      </text>
    </comment>
    <comment ref="B78" authorId="1" shapeId="0">
      <text>
        <r>
          <rPr>
            <b/>
            <sz val="9"/>
            <color rgb="FF000000"/>
            <rFont val="Segoe UI"/>
            <family val="2"/>
          </rPr>
          <t>YCSA: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Diminuimos um pouco esse valor, pois durante 2019 houveram vários serviços adicionais que não vão se repetir em 2021, como novo site, publicações em jornais por conta edital cbc, etc...</t>
        </r>
      </text>
    </comment>
    <comment ref="K78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estudo registrário</t>
        </r>
      </text>
    </comment>
    <comment ref="B79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Para esses itens utilizamos a média - orçamento 2020 acrescido de reajuste de 4%
</t>
        </r>
      </text>
    </comment>
    <comment ref="I82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referente acerto la vieiras - despesas diretoria / comodoro</t>
        </r>
      </text>
    </comment>
    <comment ref="F85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árvore natal</t>
        </r>
      </text>
    </comment>
    <comment ref="G85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ombrelones, bases de ombrelones, mat esportivo, capachos</t>
        </r>
      </text>
    </comment>
    <comment ref="B89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Utilizamos a média histórica com exceção do jantar do comodoro que em 2021 devemos realizar um evento maior</t>
        </r>
      </text>
    </comment>
    <comment ref="I91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acerto la vieiras que estava pendente
</t>
        </r>
      </text>
    </comment>
    <comment ref="K91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sinal banda</t>
        </r>
      </text>
    </comment>
    <comment ref="F101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papelaria - bazar de natal e locação equip - despesas com o concerto de natal Eloi e locação equip
</t>
        </r>
      </text>
    </comment>
    <comment ref="I102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acertos pendentes la vieiras</t>
        </r>
      </text>
    </comment>
    <comment ref="B104" authorId="1" shapeId="0">
      <text>
        <r>
          <rPr>
            <b/>
            <sz val="9"/>
            <color indexed="81"/>
            <rFont val="Segoe UI"/>
            <family val="2"/>
          </rPr>
          <t>YCSA
Para esses itens utilizamos a média e e suspendemos o pagamento da FEVESP até a regularização da situação da mesma</t>
        </r>
      </text>
    </comment>
    <comment ref="B111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- valores previstos para 2020 atualizados</t>
        </r>
      </text>
    </comment>
    <comment ref="I112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acerto la vieiras
</t>
        </r>
      </text>
    </comment>
    <comment ref="B129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</t>
        </r>
      </text>
    </comment>
    <comment ref="B131" authorId="4" shapeId="0">
      <text>
        <r>
          <rPr>
            <b/>
            <sz val="9"/>
            <color rgb="FF000000"/>
            <rFont val="Segoe UI"/>
            <family val="2"/>
          </rPr>
          <t>Peter Pondorf: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retirado Maicou</t>
        </r>
      </text>
    </comment>
    <comment ref="J137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geison</t>
        </r>
      </text>
    </comment>
    <comment ref="B143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</t>
        </r>
      </text>
    </comment>
    <comment ref="B146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</t>
        </r>
      </text>
    </comment>
    <comment ref="B152" authorId="1" shapeId="0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Média histórica com exceção do IPTU que foi excluido, uma vez que os valores ainda estão sendo contestados administrativamente</t>
        </r>
      </text>
    </comment>
    <comment ref="G153" authorId="3" shapeId="0">
      <text>
        <r>
          <rPr>
            <b/>
            <sz val="9"/>
            <color indexed="81"/>
            <rFont val="Segoe UI"/>
            <family val="2"/>
          </rPr>
          <t>Irene:</t>
        </r>
        <r>
          <rPr>
            <sz val="9"/>
            <color indexed="81"/>
            <rFont val="Segoe UI"/>
            <family val="2"/>
          </rPr>
          <t xml:space="preserve">
resgate cdb
</t>
        </r>
      </text>
    </comment>
  </commentList>
</comments>
</file>

<file path=xl/sharedStrings.xml><?xml version="1.0" encoding="utf-8"?>
<sst xmlns="http://schemas.openxmlformats.org/spreadsheetml/2006/main" count="246" uniqueCount="214">
  <si>
    <t>RECEITAS</t>
  </si>
  <si>
    <t>RECEITAS DE CUSTEIO</t>
  </si>
  <si>
    <t>RECEITAS SOCIAIS</t>
  </si>
  <si>
    <t>Mensalidade de Sócios</t>
  </si>
  <si>
    <t>Mensalidade de Sócio Esportista</t>
  </si>
  <si>
    <t>Estadia de Barcos</t>
  </si>
  <si>
    <t>Taxa de Armário (Vestiários)</t>
  </si>
  <si>
    <t>Taxa de Armário (Hangar)</t>
  </si>
  <si>
    <t>Taxa de Bolão</t>
  </si>
  <si>
    <t>Festas Oktoberfest</t>
  </si>
  <si>
    <t>Festa Flash Back</t>
  </si>
  <si>
    <t>Festas Junina</t>
  </si>
  <si>
    <t>FUNDO PRÓ-VELA</t>
  </si>
  <si>
    <t>RECEITAS CURSO DE VELA</t>
  </si>
  <si>
    <t>curso de vela</t>
  </si>
  <si>
    <t>curso de vela adulto/arrais</t>
  </si>
  <si>
    <t>acampamento</t>
  </si>
  <si>
    <t>Receitas Financeiras</t>
  </si>
  <si>
    <t>RECEITAS EVENTUAIS</t>
  </si>
  <si>
    <t>Tx transferência</t>
  </si>
  <si>
    <t>aluguel sede</t>
  </si>
  <si>
    <t>tx de obras</t>
  </si>
  <si>
    <t>uniformes e acessórios</t>
  </si>
  <si>
    <t>venda de imobilizado / doações</t>
  </si>
  <si>
    <t>título</t>
  </si>
  <si>
    <t>RECEITAS DIRETORIA DE VELA</t>
  </si>
  <si>
    <t>DESPESAS TOTAIS</t>
  </si>
  <si>
    <t>Diretor Secretário</t>
  </si>
  <si>
    <t>Despesas com Pessoal</t>
  </si>
  <si>
    <t>Salários (exceto Escola de Vela)</t>
  </si>
  <si>
    <t>Gratificação espontânea</t>
  </si>
  <si>
    <t>Encargos</t>
  </si>
  <si>
    <t>Rescisões Contratuais</t>
  </si>
  <si>
    <t>Férias+Encargos</t>
  </si>
  <si>
    <t>13º salario+Encargos</t>
  </si>
  <si>
    <t>Capacitação Profissional</t>
  </si>
  <si>
    <t>exames médicos, uniformes, etc</t>
  </si>
  <si>
    <t>Assistência Médica</t>
  </si>
  <si>
    <t>Seguros</t>
  </si>
  <si>
    <t>Consumo</t>
  </si>
  <si>
    <t>Água e Esgoto</t>
  </si>
  <si>
    <t>Eletricidade</t>
  </si>
  <si>
    <t>Gas</t>
  </si>
  <si>
    <t>Telefone, Net, correio, cartório</t>
  </si>
  <si>
    <t>Material de escritório</t>
  </si>
  <si>
    <t>Material de consumo e limpeza</t>
  </si>
  <si>
    <t>mat. vestiário e enfermaria</t>
  </si>
  <si>
    <t>Serviços Terceirizados</t>
  </si>
  <si>
    <t>Contabilidade</t>
  </si>
  <si>
    <t>Assessoria Jurídica</t>
  </si>
  <si>
    <t>Salva Vidas</t>
  </si>
  <si>
    <t>Outros (sistema /informática / site / serviços de terceiros)</t>
  </si>
  <si>
    <t>Outras Despesas Operacionais</t>
  </si>
  <si>
    <t>Marketing (impressos diversos)</t>
  </si>
  <si>
    <t>Despesas Gerais (Lanches e refeições)</t>
  </si>
  <si>
    <t>Segurança (canil) e ração</t>
  </si>
  <si>
    <t>compra de pequenos bens</t>
  </si>
  <si>
    <t>Outros (dedetização/headhunter,etc)</t>
  </si>
  <si>
    <t>Uniformes e Acessórios para venda</t>
  </si>
  <si>
    <t>Diretoria Social</t>
  </si>
  <si>
    <t>Festas e Eventos</t>
  </si>
  <si>
    <t>Festa Junina</t>
  </si>
  <si>
    <t>Oktoberfest</t>
  </si>
  <si>
    <t>Hallowycsa</t>
  </si>
  <si>
    <t>Homenagens</t>
  </si>
  <si>
    <t>Jantar do Comodoro</t>
  </si>
  <si>
    <t>Eventos</t>
  </si>
  <si>
    <t>Flash Back</t>
  </si>
  <si>
    <t>Outras Desp. Sociais</t>
  </si>
  <si>
    <t>FEVESP</t>
  </si>
  <si>
    <t>FENACLUBES</t>
  </si>
  <si>
    <t>CBC</t>
  </si>
  <si>
    <t>Diretoria Escola de Vela</t>
  </si>
  <si>
    <t>Despesas da Escola de Vela</t>
  </si>
  <si>
    <t>Acampamentos Escola de Vela</t>
  </si>
  <si>
    <t>Salários</t>
  </si>
  <si>
    <t>13º salario</t>
  </si>
  <si>
    <t>Gratificações</t>
  </si>
  <si>
    <t>Férias</t>
  </si>
  <si>
    <t>Alimentação de funcionários / cesta básica / exames médicos  / Vale transporte /</t>
  </si>
  <si>
    <t>Combustível (Escola de Vela)</t>
  </si>
  <si>
    <t>Materiais escola de vela</t>
  </si>
  <si>
    <t>Instrutores Colégio Britânico (autonomos)</t>
  </si>
  <si>
    <t xml:space="preserve">Autonomos </t>
  </si>
  <si>
    <t>Curso de Habilitação Náutica</t>
  </si>
  <si>
    <t>Diretoria de Vela</t>
  </si>
  <si>
    <t>Despesas</t>
  </si>
  <si>
    <t>Alimentação funcionários / cesta básica</t>
  </si>
  <si>
    <t>Viagens/estadias para regatas</t>
  </si>
  <si>
    <t>Diretoria de Patrimônio</t>
  </si>
  <si>
    <t>Manutenção e Conservação de Instalações</t>
  </si>
  <si>
    <t>Manutenção e Conservação Piscina</t>
  </si>
  <si>
    <t>Manutenção e Conservação Edifícios, Muros, Cercas, etc</t>
  </si>
  <si>
    <t>Manuteção Hidráulica &amp; Elétrica</t>
  </si>
  <si>
    <t>Manutenção e Conservação Jardins</t>
  </si>
  <si>
    <t>Manutenção de Eqtos (exceto náutica)</t>
  </si>
  <si>
    <t>Impostos e Taxas</t>
  </si>
  <si>
    <t>Tributos e Taxas Municipais</t>
  </si>
  <si>
    <t>Despesas Bancárias</t>
  </si>
  <si>
    <t>PIS/COFINS</t>
  </si>
  <si>
    <t>Benefícios ( vale transp. + cesta básica  )</t>
  </si>
  <si>
    <t>Alimentação de funcionários</t>
  </si>
  <si>
    <t>Uniformes escola de vela</t>
  </si>
  <si>
    <t>Uniforme flotilha</t>
  </si>
  <si>
    <t>Funcionários terceirizados</t>
  </si>
  <si>
    <t xml:space="preserve">Eventos Náuticos </t>
  </si>
  <si>
    <t>despesa de deslocamento, motoboy</t>
  </si>
  <si>
    <t>Conduções, viagens, cópias</t>
  </si>
  <si>
    <t>Páscoa</t>
  </si>
  <si>
    <t>Dia das Crianças</t>
  </si>
  <si>
    <t>Carnaval</t>
  </si>
  <si>
    <t>Dia das mães</t>
  </si>
  <si>
    <t>Dia dos pais</t>
  </si>
  <si>
    <t>Natal</t>
  </si>
  <si>
    <t>FEVESP - Patrocinio (juizes)</t>
  </si>
  <si>
    <t>Total</t>
  </si>
  <si>
    <t>SINDICLUBE</t>
  </si>
  <si>
    <t>RECEITAS FINANCEIRAS</t>
  </si>
  <si>
    <t>TOTAL</t>
  </si>
  <si>
    <t>DESPESAS</t>
  </si>
  <si>
    <t>PESSOAL</t>
  </si>
  <si>
    <t>OPERACIONAIS</t>
  </si>
  <si>
    <t>MANUTENÇÃO</t>
  </si>
  <si>
    <t>IMPOSTOS E TAXAS</t>
  </si>
  <si>
    <t>ASSOCIAÇÕES</t>
  </si>
  <si>
    <t>ADMINISTRATIVAS</t>
  </si>
  <si>
    <t>ESCOLA DE VELA</t>
  </si>
  <si>
    <t>DIRETORIA DE VELA</t>
  </si>
  <si>
    <t>Categorias</t>
  </si>
  <si>
    <t>Quantidade</t>
  </si>
  <si>
    <t>Valor mensalidade</t>
  </si>
  <si>
    <t>Proprietário</t>
  </si>
  <si>
    <t>Ausente</t>
  </si>
  <si>
    <t>Eportista</t>
  </si>
  <si>
    <t>Honorário Pagante</t>
  </si>
  <si>
    <t>Honorário não pagante</t>
  </si>
  <si>
    <t>Veterano Pagante 70%</t>
  </si>
  <si>
    <t>Veterano Pagante 50%</t>
  </si>
  <si>
    <t>Veterano Pagante 10%</t>
  </si>
  <si>
    <t>TX Obras</t>
  </si>
  <si>
    <t>Convites Sociais + (Parceiros)</t>
  </si>
  <si>
    <t>TX Transf</t>
  </si>
  <si>
    <t>Título</t>
  </si>
  <si>
    <t>Total Tx Transf</t>
  </si>
  <si>
    <t>Total Título</t>
  </si>
  <si>
    <t>Remido</t>
  </si>
  <si>
    <t>Auditoria Contábil</t>
  </si>
  <si>
    <t>Inscrições de regatas</t>
  </si>
  <si>
    <t>Troféus e Prêmios</t>
  </si>
  <si>
    <t>CONTRIBUIÇÕES SOCIAIS</t>
  </si>
  <si>
    <t>Concessão Restaurante</t>
  </si>
  <si>
    <t>Patrocinios</t>
  </si>
  <si>
    <t>RECEITAS DIRETORIA SOCIAL</t>
  </si>
  <si>
    <t>RECEITAS DE SERVIÇOS DIVERSOS</t>
  </si>
  <si>
    <t>DESPESAS DE CUSTEIO</t>
  </si>
  <si>
    <t>aluguel de barcos para a escola de vela</t>
  </si>
  <si>
    <t>DIFERENÇA</t>
  </si>
  <si>
    <t>REAJUSTE NA MENSALIDADE</t>
  </si>
  <si>
    <t>Proposta 2021</t>
  </si>
  <si>
    <t>Proprietário individual</t>
  </si>
  <si>
    <t>Colaboradores terceirizados (faxineira, jardineiro, porteiros)</t>
  </si>
  <si>
    <t>Proposta mensal 2022</t>
  </si>
  <si>
    <t>Variação 22/21</t>
  </si>
  <si>
    <t>Diretoria de Sustentabilidade</t>
  </si>
  <si>
    <t>Despesas de sustentabilidade</t>
  </si>
  <si>
    <t>Ações de sustentabilidade</t>
  </si>
  <si>
    <t>Aluguel de barcos</t>
  </si>
  <si>
    <t>Combustivel para campeonatos e treinos da flotilha</t>
  </si>
  <si>
    <t>Eventos Náuticos (prêmios, juria)</t>
  </si>
  <si>
    <t>Uniformes e Adesivos Equip Vela</t>
  </si>
  <si>
    <t>DIRETORIA SOCIAL</t>
  </si>
  <si>
    <t>Eventos Diversos</t>
  </si>
  <si>
    <t>agosto/ss</t>
  </si>
  <si>
    <t>Total 2022</t>
  </si>
  <si>
    <t>%</t>
  </si>
  <si>
    <t>Proposta 2022 - anual</t>
  </si>
  <si>
    <t>Média 2022</t>
  </si>
  <si>
    <t>Proposta Mensal 2023</t>
  </si>
  <si>
    <t>Acompanhamento técnico</t>
  </si>
  <si>
    <t>Bazar YCSA</t>
  </si>
  <si>
    <t>Manutenção e Conservação Veleiros e botes da Escola de Vela</t>
  </si>
  <si>
    <t>Manutenção botes, lanchas e veleiros da flotilha</t>
  </si>
  <si>
    <t>Proposta anual 2023</t>
  </si>
  <si>
    <t>Bazar de Natal</t>
  </si>
  <si>
    <t>Total 2022 - até setembro</t>
  </si>
  <si>
    <t>Proposta Mensal 2023 - ajustado</t>
  </si>
  <si>
    <t>Média 3T</t>
  </si>
  <si>
    <t>Ajustar orçamento em linha com receita</t>
  </si>
  <si>
    <t>Explicar razão do valor não acompanhar 2022</t>
  </si>
  <si>
    <t>Avaliar quais eventos náuticos teremos</t>
  </si>
  <si>
    <t>Avaliar se quantidade e tamanho de regatas comparável com 2022</t>
  </si>
  <si>
    <t>Estimar se haverá renovação de uniformes dados que os gastos ocorreram nos meses mais próximos ao final do ano</t>
  </si>
  <si>
    <t>Outras receitas de diretoria social?</t>
  </si>
  <si>
    <t>Valores muito baixos se comparados com despesas</t>
  </si>
  <si>
    <t>Avaliar se não houve gastos expressivos de manutenção que podem não se repetir</t>
  </si>
  <si>
    <t>Avalir se há algum aspecto crítico de manutenção a ser contemplado</t>
  </si>
  <si>
    <t>Explicar o racional do valor alto</t>
  </si>
  <si>
    <t>Avaliar se custos estarão em linha com 2022</t>
  </si>
  <si>
    <t>Se receitas forem ajustadas, importante ajustar custos na mesma tendencia</t>
  </si>
  <si>
    <t>Não há mais funcionários alocados a esse centro de custo?</t>
  </si>
  <si>
    <t>Realizado Janeiro</t>
  </si>
  <si>
    <t>Realizado fevereiro</t>
  </si>
  <si>
    <t>Realizado março</t>
  </si>
  <si>
    <t>Realizado abril</t>
  </si>
  <si>
    <t>Realizado maio</t>
  </si>
  <si>
    <t>Realizado junho</t>
  </si>
  <si>
    <t>Realizado julho</t>
  </si>
  <si>
    <t>Realizado agosto</t>
  </si>
  <si>
    <t>Realizado setembro</t>
  </si>
  <si>
    <t>Realizado outubro</t>
  </si>
  <si>
    <t>Realizado novembro</t>
  </si>
  <si>
    <t>Realizado dezembro</t>
  </si>
  <si>
    <t>Acumulado ano - R$</t>
  </si>
  <si>
    <t>CONFEDERAÇÃO BRAS VELA - ASSOCIAÇÃO GUARAPIRANGA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</si>
</sst>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#,##0.00"/>
    <numFmt numFmtId="166" formatCode="&quot;R$&quot;\ #,##0.00"/>
    <numFmt numFmtId="167" formatCode="0.0%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theme="1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9"/>
      <color rgb="FF000000"/>
      <name val="Segoe UI"/>
      <family val="2"/>
    </font>
    <font>
      <sz val="9"/>
      <color rgb="FF000000"/>
      <name val="Segoe U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9">
    <xf numFmtId="0" fontId="0" fillId="0" borderId="0" xfId="0"/>
    <xf numFmtId="4" fontId="0" fillId="0" borderId="0" xfId="0" applyNumberFormat="1"/>
    <xf numFmtId="43" fontId="0" fillId="0" borderId="0" xfId="0" applyNumberFormat="1"/>
    <xf numFmtId="44" fontId="0" fillId="0" borderId="0" xfId="3" applyFont="1"/>
    <xf numFmtId="43" fontId="0" fillId="0" borderId="0" xfId="1" applyFont="1" applyBorder="1"/>
    <xf numFmtId="0" fontId="0" fillId="0" borderId="2" xfId="0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4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44" fontId="4" fillId="0" borderId="0" xfId="3" applyFont="1" applyAlignment="1">
      <alignment horizontal="center"/>
    </xf>
    <xf numFmtId="43" fontId="0" fillId="0" borderId="0" xfId="1" applyFont="1"/>
    <xf numFmtId="0" fontId="0" fillId="0" borderId="3" xfId="0" applyBorder="1"/>
    <xf numFmtId="43" fontId="0" fillId="0" borderId="3" xfId="1" applyFont="1" applyBorder="1"/>
    <xf numFmtId="43" fontId="0" fillId="0" borderId="4" xfId="1" applyFont="1" applyBorder="1"/>
    <xf numFmtId="4" fontId="0" fillId="0" borderId="0" xfId="0" applyNumberFormat="1" applyAlignment="1">
      <alignment horizontal="left" indent="1"/>
    </xf>
    <xf numFmtId="0" fontId="0" fillId="0" borderId="0" xfId="0" applyAlignment="1">
      <alignment horizontal="left" indent="1"/>
    </xf>
    <xf numFmtId="0" fontId="0" fillId="0" borderId="1" xfId="0" applyBorder="1"/>
    <xf numFmtId="0" fontId="0" fillId="6" borderId="5" xfId="0" applyFill="1" applyBorder="1"/>
    <xf numFmtId="4" fontId="0" fillId="0" borderId="0" xfId="0" applyNumberFormat="1" applyAlignment="1">
      <alignment horizontal="left" indent="2"/>
    </xf>
    <xf numFmtId="0" fontId="0" fillId="0" borderId="0" xfId="0" applyAlignment="1">
      <alignment horizontal="left" indent="2"/>
    </xf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left" indent="1"/>
    </xf>
    <xf numFmtId="4" fontId="0" fillId="0" borderId="8" xfId="0" applyNumberFormat="1" applyBorder="1"/>
    <xf numFmtId="0" fontId="0" fillId="0" borderId="7" xfId="0" applyBorder="1" applyAlignment="1">
      <alignment horizontal="left" indent="2"/>
    </xf>
    <xf numFmtId="43" fontId="0" fillId="0" borderId="8" xfId="1" applyFont="1" applyBorder="1"/>
    <xf numFmtId="4" fontId="0" fillId="0" borderId="7" xfId="0" applyNumberFormat="1" applyBorder="1" applyAlignment="1">
      <alignment horizontal="left" indent="1"/>
    </xf>
    <xf numFmtId="0" fontId="0" fillId="0" borderId="9" xfId="0" applyBorder="1"/>
    <xf numFmtId="4" fontId="0" fillId="0" borderId="10" xfId="0" applyNumberFormat="1" applyBorder="1"/>
    <xf numFmtId="4" fontId="5" fillId="0" borderId="7" xfId="0" applyNumberFormat="1" applyFont="1" applyBorder="1" applyAlignment="1">
      <alignment horizontal="center"/>
    </xf>
    <xf numFmtId="0" fontId="0" fillId="4" borderId="0" xfId="0" applyFill="1"/>
    <xf numFmtId="43" fontId="0" fillId="4" borderId="0" xfId="0" applyNumberFormat="1" applyFill="1"/>
    <xf numFmtId="167" fontId="0" fillId="0" borderId="0" xfId="2" applyNumberFormat="1" applyFont="1" applyBorder="1" applyAlignment="1">
      <alignment horizontal="center"/>
    </xf>
    <xf numFmtId="167" fontId="0" fillId="4" borderId="1" xfId="2" applyNumberFormat="1" applyFont="1" applyFill="1" applyBorder="1"/>
    <xf numFmtId="0" fontId="0" fillId="4" borderId="1" xfId="0" applyFill="1" applyBorder="1"/>
    <xf numFmtId="9" fontId="0" fillId="4" borderId="1" xfId="2" applyFont="1" applyFill="1" applyBorder="1"/>
    <xf numFmtId="44" fontId="0" fillId="4" borderId="1" xfId="3" applyFont="1" applyFill="1" applyBorder="1" applyAlignment="1">
      <alignment horizontal="right"/>
    </xf>
    <xf numFmtId="44" fontId="0" fillId="0" borderId="1" xfId="3" applyFont="1" applyBorder="1" applyAlignment="1">
      <alignment horizontal="right"/>
    </xf>
    <xf numFmtId="44" fontId="8" fillId="3" borderId="1" xfId="3" applyFont="1" applyFill="1" applyBorder="1" applyAlignment="1">
      <alignment horizontal="right" vertical="center" wrapText="1"/>
    </xf>
    <xf numFmtId="44" fontId="8" fillId="5" borderId="1" xfId="3" applyFont="1" applyFill="1" applyBorder="1" applyAlignment="1">
      <alignment horizontal="right" vertical="center"/>
    </xf>
    <xf numFmtId="44" fontId="8" fillId="6" borderId="1" xfId="3" applyFont="1" applyFill="1" applyBorder="1" applyAlignment="1">
      <alignment horizontal="right" vertical="center"/>
    </xf>
    <xf numFmtId="44" fontId="4" fillId="7" borderId="1" xfId="3" applyFont="1" applyFill="1" applyBorder="1" applyAlignment="1">
      <alignment horizontal="right" vertical="center"/>
    </xf>
    <xf numFmtId="43" fontId="0" fillId="0" borderId="1" xfId="0" applyNumberFormat="1" applyBorder="1"/>
    <xf numFmtId="166" fontId="0" fillId="0" borderId="1" xfId="0" applyNumberFormat="1" applyBorder="1" applyAlignment="1">
      <alignment horizontal="right"/>
    </xf>
    <xf numFmtId="44" fontId="0" fillId="0" borderId="1" xfId="3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vertical="center"/>
    </xf>
    <xf numFmtId="17" fontId="4" fillId="2" borderId="1" xfId="1" applyNumberFormat="1" applyFont="1" applyFill="1" applyBorder="1" applyAlignment="1">
      <alignment horizontal="center" vertical="center" wrapText="1"/>
    </xf>
    <xf numFmtId="17" fontId="4" fillId="4" borderId="1" xfId="1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166" fontId="8" fillId="3" borderId="1" xfId="0" applyNumberFormat="1" applyFont="1" applyFill="1" applyBorder="1" applyAlignment="1">
      <alignment horizontal="right" vertical="center" wrapText="1"/>
    </xf>
    <xf numFmtId="166" fontId="0" fillId="0" borderId="1" xfId="2" applyNumberFormat="1" applyFont="1" applyBorder="1" applyAlignment="1">
      <alignment horizontal="right"/>
    </xf>
    <xf numFmtId="0" fontId="0" fillId="0" borderId="1" xfId="0" applyBorder="1" applyAlignment="1">
      <alignment horizontal="left"/>
    </xf>
    <xf numFmtId="166" fontId="0" fillId="4" borderId="1" xfId="0" applyNumberFormat="1" applyFill="1" applyBorder="1" applyAlignment="1">
      <alignment horizontal="right"/>
    </xf>
    <xf numFmtId="0" fontId="8" fillId="5" borderId="1" xfId="0" applyFont="1" applyFill="1" applyBorder="1" applyAlignment="1">
      <alignment vertical="center" wrapText="1"/>
    </xf>
    <xf numFmtId="166" fontId="8" fillId="5" borderId="1" xfId="1" applyNumberFormat="1" applyFont="1" applyFill="1" applyBorder="1" applyAlignment="1">
      <alignment horizontal="right" vertical="center"/>
    </xf>
    <xf numFmtId="164" fontId="8" fillId="5" borderId="1" xfId="1" applyNumberFormat="1" applyFont="1" applyFill="1" applyBorder="1"/>
    <xf numFmtId="0" fontId="4" fillId="6" borderId="1" xfId="0" applyFont="1" applyFill="1" applyBorder="1" applyAlignment="1">
      <alignment vertical="center" wrapText="1"/>
    </xf>
    <xf numFmtId="166" fontId="8" fillId="6" borderId="1" xfId="1" applyNumberFormat="1" applyFont="1" applyFill="1" applyBorder="1" applyAlignment="1">
      <alignment horizontal="right" vertical="center"/>
    </xf>
    <xf numFmtId="0" fontId="0" fillId="0" borderId="1" xfId="0" applyBorder="1" applyAlignment="1">
      <alignment vertical="center" wrapText="1"/>
    </xf>
    <xf numFmtId="166" fontId="0" fillId="4" borderId="1" xfId="1" applyNumberFormat="1" applyFont="1" applyFill="1" applyBorder="1" applyAlignment="1">
      <alignment horizontal="right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 wrapText="1"/>
    </xf>
    <xf numFmtId="164" fontId="8" fillId="7" borderId="1" xfId="1" applyNumberFormat="1" applyFont="1" applyFill="1" applyBorder="1"/>
    <xf numFmtId="166" fontId="4" fillId="7" borderId="1" xfId="1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vertical="center" wrapText="1"/>
    </xf>
    <xf numFmtId="166" fontId="0" fillId="0" borderId="0" xfId="0" applyNumberFormat="1"/>
    <xf numFmtId="10" fontId="4" fillId="0" borderId="0" xfId="0" applyNumberFormat="1" applyFont="1" applyAlignment="1">
      <alignment horizontal="center"/>
    </xf>
    <xf numFmtId="0" fontId="4" fillId="8" borderId="0" xfId="0" applyFont="1" applyFill="1" applyAlignment="1">
      <alignment horizontal="center"/>
    </xf>
    <xf numFmtId="165" fontId="4" fillId="8" borderId="0" xfId="0" applyNumberFormat="1" applyFont="1" applyFill="1" applyAlignment="1">
      <alignment horizontal="center"/>
    </xf>
    <xf numFmtId="0" fontId="4" fillId="8" borderId="0" xfId="0" applyFont="1" applyFill="1" applyAlignment="1">
      <alignment horizontal="center" wrapText="1"/>
    </xf>
    <xf numFmtId="166" fontId="4" fillId="8" borderId="0" xfId="0" applyNumberFormat="1" applyFont="1" applyFill="1"/>
    <xf numFmtId="9" fontId="8" fillId="3" borderId="1" xfId="2" applyFont="1" applyFill="1" applyBorder="1" applyAlignment="1">
      <alignment horizontal="right" vertical="center" wrapText="1"/>
    </xf>
    <xf numFmtId="9" fontId="0" fillId="0" borderId="1" xfId="2" applyFont="1" applyBorder="1" applyAlignment="1">
      <alignment horizontal="right"/>
    </xf>
    <xf numFmtId="9" fontId="0" fillId="4" borderId="1" xfId="2" applyFont="1" applyFill="1" applyBorder="1" applyAlignment="1">
      <alignment horizontal="right"/>
    </xf>
    <xf numFmtId="9" fontId="0" fillId="0" borderId="1" xfId="2" applyFont="1" applyFill="1" applyBorder="1" applyAlignment="1">
      <alignment horizontal="right"/>
    </xf>
    <xf numFmtId="9" fontId="8" fillId="5" borderId="1" xfId="2" applyFont="1" applyFill="1" applyBorder="1" applyAlignment="1">
      <alignment horizontal="right" vertical="center"/>
    </xf>
    <xf numFmtId="9" fontId="8" fillId="6" borderId="1" xfId="2" applyFont="1" applyFill="1" applyBorder="1" applyAlignment="1">
      <alignment horizontal="right" vertical="center"/>
    </xf>
    <xf numFmtId="9" fontId="4" fillId="7" borderId="1" xfId="2" applyFont="1" applyFill="1" applyBorder="1" applyAlignment="1">
      <alignment horizontal="right" vertical="center"/>
    </xf>
    <xf numFmtId="17" fontId="4" fillId="2" borderId="13" xfId="1" applyNumberFormat="1" applyFont="1" applyFill="1" applyBorder="1" applyAlignment="1">
      <alignment horizontal="center" vertical="center" wrapText="1"/>
    </xf>
    <xf numFmtId="44" fontId="0" fillId="0" borderId="0" xfId="0" applyNumberFormat="1"/>
    <xf numFmtId="9" fontId="0" fillId="0" borderId="0" xfId="0" applyNumberFormat="1"/>
    <xf numFmtId="44" fontId="0" fillId="0" borderId="1" xfId="0" applyNumberFormat="1" applyBorder="1"/>
    <xf numFmtId="44" fontId="0" fillId="4" borderId="1" xfId="0" applyNumberFormat="1" applyFill="1" applyBorder="1"/>
    <xf numFmtId="0" fontId="8" fillId="9" borderId="1" xfId="0" applyFont="1" applyFill="1" applyBorder="1" applyAlignment="1">
      <alignment vertical="center" wrapText="1"/>
    </xf>
    <xf numFmtId="166" fontId="8" fillId="9" borderId="1" xfId="0" applyNumberFormat="1" applyFont="1" applyFill="1" applyBorder="1" applyAlignment="1">
      <alignment horizontal="right" vertical="center" wrapText="1"/>
    </xf>
    <xf numFmtId="44" fontId="8" fillId="9" borderId="1" xfId="3" applyFont="1" applyFill="1" applyBorder="1" applyAlignment="1">
      <alignment horizontal="right" vertical="center" wrapText="1"/>
    </xf>
    <xf numFmtId="167" fontId="0" fillId="9" borderId="1" xfId="2" applyNumberFormat="1" applyFont="1" applyFill="1" applyBorder="1"/>
    <xf numFmtId="9" fontId="8" fillId="9" borderId="1" xfId="2" applyFont="1" applyFill="1" applyBorder="1" applyAlignment="1">
      <alignment horizontal="right" vertical="center" wrapText="1"/>
    </xf>
    <xf numFmtId="17" fontId="4" fillId="2" borderId="14" xfId="1" applyNumberFormat="1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9" fillId="0" borderId="1" xfId="0" applyFont="1" applyBorder="1"/>
    <xf numFmtId="0" fontId="0" fillId="0" borderId="1" xfId="0" applyFill="1" applyBorder="1" applyAlignment="1">
      <alignment horizontal="left"/>
    </xf>
    <xf numFmtId="166" fontId="0" fillId="0" borderId="1" xfId="0" applyNumberFormat="1" applyFill="1" applyBorder="1" applyAlignment="1">
      <alignment horizontal="right"/>
    </xf>
    <xf numFmtId="167" fontId="0" fillId="0" borderId="1" xfId="2" applyNumberFormat="1" applyFont="1" applyFill="1" applyBorder="1"/>
    <xf numFmtId="44" fontId="0" fillId="0" borderId="1" xfId="0" applyNumberFormat="1" applyFill="1" applyBorder="1"/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166" fontId="0" fillId="0" borderId="1" xfId="1" applyNumberFormat="1" applyFont="1" applyFill="1" applyBorder="1" applyAlignment="1">
      <alignment horizontal="right"/>
    </xf>
    <xf numFmtId="44" fontId="0" fillId="0" borderId="0" xfId="0" applyNumberFormat="1" applyFill="1"/>
    <xf numFmtId="0" fontId="0" fillId="0" borderId="0" xfId="0" applyFill="1"/>
    <xf numFmtId="9" fontId="0" fillId="0" borderId="1" xfId="2" applyFont="1" applyFill="1" applyBorder="1"/>
    <xf numFmtId="9" fontId="0" fillId="0" borderId="1" xfId="2" applyFont="1" applyBorder="1"/>
    <xf numFmtId="44" fontId="0" fillId="0" borderId="1" xfId="3" applyFont="1" applyFill="1" applyBorder="1"/>
    <xf numFmtId="44" fontId="0" fillId="0" borderId="1" xfId="3" applyFont="1" applyBorder="1"/>
    <xf numFmtId="0" fontId="0" fillId="6" borderId="6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5"/>
  <sheetViews>
    <sheetView topLeftCell="B1" zoomScaleNormal="80" workbookViewId="0">
      <selection activeCell="G29" sqref="G29"/>
    </sheetView>
  </sheetViews>
  <sheetFormatPr defaultColWidth="8.7109375" defaultRowHeight="15" x14ac:dyDescent="0.25"/>
  <cols>
    <col min="1" max="1" width="14.28515625" customWidth="1"/>
    <col min="2" max="2" width="34.28515625" bestFit="1" customWidth="1"/>
    <col min="3" max="4" width="13.7109375" bestFit="1" customWidth="1"/>
    <col min="5" max="5" width="22.42578125" customWidth="1"/>
    <col min="6" max="7" width="13.7109375" bestFit="1" customWidth="1"/>
    <col min="8" max="8" width="15.42578125" customWidth="1"/>
    <col min="9" max="9" width="13.28515625" bestFit="1" customWidth="1"/>
    <col min="12" max="12" width="13.28515625" bestFit="1" customWidth="1"/>
    <col min="13" max="13" width="11.42578125" bestFit="1" customWidth="1"/>
  </cols>
  <sheetData>
    <row r="1" spans="2:13" ht="22.5" customHeight="1" thickBot="1" x14ac:dyDescent="0.3"/>
    <row r="2" spans="2:13" ht="15.75" thickBot="1" x14ac:dyDescent="0.3">
      <c r="B2" s="107" t="s">
        <v>0</v>
      </c>
      <c r="C2" s="106"/>
      <c r="D2" s="108"/>
      <c r="E2" s="106" t="s">
        <v>119</v>
      </c>
      <c r="F2" s="106"/>
      <c r="G2" s="106"/>
      <c r="H2" s="19" t="s">
        <v>156</v>
      </c>
    </row>
    <row r="3" spans="2:13" x14ac:dyDescent="0.25">
      <c r="B3" s="22"/>
      <c r="D3" s="23"/>
      <c r="H3" s="13"/>
    </row>
    <row r="4" spans="2:13" x14ac:dyDescent="0.25">
      <c r="B4" s="24" t="s">
        <v>1</v>
      </c>
      <c r="C4" s="4">
        <f>SUM(C6:C18)+0.3</f>
        <v>5302960.2543200003</v>
      </c>
      <c r="D4" s="25"/>
      <c r="E4" s="17" t="s">
        <v>154</v>
      </c>
      <c r="F4" s="2">
        <f>SUM(F6:F16)</f>
        <v>4973155.5588882919</v>
      </c>
      <c r="H4" s="14">
        <f>C4-F4</f>
        <v>329804.69543170836</v>
      </c>
      <c r="I4" s="2">
        <f>F4-Budget!D47</f>
        <v>600301.63222162519</v>
      </c>
      <c r="L4" s="2"/>
      <c r="M4" s="2"/>
    </row>
    <row r="5" spans="2:13" x14ac:dyDescent="0.25">
      <c r="B5" s="24"/>
      <c r="C5" s="4"/>
      <c r="D5" s="23"/>
      <c r="E5" s="17"/>
      <c r="H5" s="14"/>
      <c r="L5" s="2"/>
      <c r="M5" s="2"/>
    </row>
    <row r="6" spans="2:13" x14ac:dyDescent="0.25">
      <c r="B6" s="24" t="s">
        <v>2</v>
      </c>
      <c r="C6" s="4">
        <f>D7+D8</f>
        <v>3797557.8316533342</v>
      </c>
      <c r="D6" s="25"/>
      <c r="E6" s="17" t="s">
        <v>125</v>
      </c>
      <c r="F6" s="2">
        <f>SUM(G7:G11)</f>
        <v>3167998.8493333324</v>
      </c>
      <c r="H6" s="14">
        <f t="shared" ref="H6:H16" si="0">C6-F6</f>
        <v>629558.98232000181</v>
      </c>
      <c r="I6" s="2"/>
    </row>
    <row r="7" spans="2:13" x14ac:dyDescent="0.25">
      <c r="B7" s="26" t="s">
        <v>149</v>
      </c>
      <c r="C7" s="4"/>
      <c r="D7" s="27">
        <f>Budget!AA9</f>
        <v>2632012.3116533342</v>
      </c>
      <c r="E7" s="20" t="s">
        <v>120</v>
      </c>
      <c r="G7" s="4">
        <f>Budget!AA49</f>
        <v>1849910.0799999996</v>
      </c>
      <c r="H7" s="14"/>
      <c r="I7" s="1"/>
    </row>
    <row r="8" spans="2:13" x14ac:dyDescent="0.25">
      <c r="B8" s="26" t="s">
        <v>153</v>
      </c>
      <c r="C8" s="4"/>
      <c r="D8" s="27">
        <f>Budget!AA14</f>
        <v>1165545.5199999998</v>
      </c>
      <c r="E8" s="20" t="s">
        <v>121</v>
      </c>
      <c r="G8" s="4">
        <f>Budget!AA62+Budget!AA64+Budget!AA72+Budget!AA79+Budget!AA142</f>
        <v>959559.96133333328</v>
      </c>
      <c r="H8" s="14"/>
    </row>
    <row r="9" spans="2:13" x14ac:dyDescent="0.25">
      <c r="B9" s="24"/>
      <c r="C9" s="4"/>
      <c r="D9" s="25"/>
      <c r="E9" s="21" t="s">
        <v>122</v>
      </c>
      <c r="G9" s="4">
        <f>Budget!AA146</f>
        <v>226768.41733333335</v>
      </c>
      <c r="H9" s="14"/>
    </row>
    <row r="10" spans="2:13" x14ac:dyDescent="0.25">
      <c r="B10" s="31">
        <f>D7+SUM(Budget!B15:B18)</f>
        <v>3513791.3126533343</v>
      </c>
      <c r="C10" s="4"/>
      <c r="D10" s="25"/>
      <c r="E10" s="21" t="s">
        <v>123</v>
      </c>
      <c r="G10" s="4">
        <f>Budget!AA152</f>
        <v>46460.377333333337</v>
      </c>
      <c r="H10" s="14"/>
    </row>
    <row r="11" spans="2:13" x14ac:dyDescent="0.25">
      <c r="B11" s="24"/>
      <c r="C11" s="4"/>
      <c r="D11" s="25"/>
      <c r="E11" s="21" t="s">
        <v>124</v>
      </c>
      <c r="G11" s="4">
        <f>Budget!AA104</f>
        <v>85300.013333333336</v>
      </c>
      <c r="H11" s="14"/>
    </row>
    <row r="12" spans="2:13" x14ac:dyDescent="0.25">
      <c r="B12" s="24"/>
      <c r="D12" s="23"/>
      <c r="E12" s="17"/>
      <c r="H12" s="13"/>
    </row>
    <row r="13" spans="2:13" x14ac:dyDescent="0.25">
      <c r="B13" s="24" t="s">
        <v>126</v>
      </c>
      <c r="C13" s="4">
        <f>Budget!AA23</f>
        <v>817148.66933333338</v>
      </c>
      <c r="D13" s="25"/>
      <c r="E13" s="16"/>
      <c r="F13" s="4">
        <f>Budget!AA110</f>
        <v>737025.84266666661</v>
      </c>
      <c r="H13" s="14">
        <f t="shared" si="0"/>
        <v>80122.826666666777</v>
      </c>
      <c r="I13" s="2"/>
    </row>
    <row r="14" spans="2:13" x14ac:dyDescent="0.25">
      <c r="B14" s="24" t="s">
        <v>127</v>
      </c>
      <c r="C14" s="4">
        <f>Budget!AA35</f>
        <v>530393.45333333337</v>
      </c>
      <c r="D14" s="25"/>
      <c r="E14" s="16"/>
      <c r="F14" s="4">
        <f>Budget!AA128</f>
        <v>877630.86693333322</v>
      </c>
      <c r="H14" s="14">
        <f t="shared" si="0"/>
        <v>-347237.41359999985</v>
      </c>
      <c r="I14" s="2"/>
    </row>
    <row r="15" spans="2:13" x14ac:dyDescent="0.25">
      <c r="B15" s="24" t="s">
        <v>170</v>
      </c>
      <c r="C15" s="4">
        <f>Budget!AA42</f>
        <v>121860</v>
      </c>
      <c r="D15" s="25"/>
      <c r="E15" s="16"/>
      <c r="F15" s="4">
        <f>Budget!AA89</f>
        <v>190499.99995495917</v>
      </c>
      <c r="H15" s="14">
        <f t="shared" si="0"/>
        <v>-68639.999954959174</v>
      </c>
      <c r="I15" s="2"/>
    </row>
    <row r="16" spans="2:13" x14ac:dyDescent="0.25">
      <c r="B16" s="28"/>
      <c r="C16" s="4"/>
      <c r="D16" s="25"/>
      <c r="E16" s="16"/>
      <c r="F16" s="4"/>
      <c r="H16" s="14">
        <f t="shared" si="0"/>
        <v>0</v>
      </c>
      <c r="I16" s="2"/>
    </row>
    <row r="17" spans="2:9" x14ac:dyDescent="0.25">
      <c r="B17" s="28"/>
      <c r="C17" s="4"/>
      <c r="D17" s="25"/>
      <c r="E17" s="1"/>
      <c r="F17" s="4"/>
      <c r="H17" s="14"/>
      <c r="I17" s="2"/>
    </row>
    <row r="18" spans="2:9" x14ac:dyDescent="0.25">
      <c r="B18" s="24" t="s">
        <v>117</v>
      </c>
      <c r="C18" s="4">
        <f>Budget!AA28</f>
        <v>36000</v>
      </c>
      <c r="D18" s="25"/>
      <c r="G18" s="4"/>
      <c r="H18" s="14">
        <f>C18-F11</f>
        <v>36000</v>
      </c>
    </row>
    <row r="19" spans="2:9" ht="15.75" thickBot="1" x14ac:dyDescent="0.3">
      <c r="B19" s="29"/>
      <c r="C19" s="5"/>
      <c r="D19" s="30"/>
      <c r="E19" s="5"/>
      <c r="F19" s="5"/>
      <c r="G19" s="5"/>
      <c r="H19" s="15"/>
    </row>
    <row r="20" spans="2:9" x14ac:dyDescent="0.25">
      <c r="C20" s="12"/>
    </row>
    <row r="21" spans="2:9" x14ac:dyDescent="0.25">
      <c r="B21" t="s">
        <v>157</v>
      </c>
      <c r="C21" s="34">
        <v>0.1</v>
      </c>
    </row>
    <row r="25" spans="2:9" x14ac:dyDescent="0.25">
      <c r="D25" s="32"/>
      <c r="E25" s="32"/>
      <c r="F25" s="33"/>
      <c r="G25" s="32"/>
      <c r="H25" s="32"/>
    </row>
  </sheetData>
  <mergeCells count="2">
    <mergeCell ref="E2:G2"/>
    <mergeCell ref="B2:D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E155"/>
  <sheetViews>
    <sheetView tabSelected="1" topLeftCell="A2" zoomScale="110" zoomScaleNormal="110" workbookViewId="0">
      <pane xSplit="2" ySplit="2" topLeftCell="AU4" activePane="bottomRight" state="frozen"/>
      <selection activeCell="A2" sqref="A2"/>
      <selection pane="topRight" activeCell="BG2" sqref="BG2"/>
      <selection pane="bottomLeft" activeCell="A6" sqref="A6"/>
      <selection pane="bottomRight" activeCell="AV155" sqref="AV155"/>
    </sheetView>
  </sheetViews>
  <sheetFormatPr defaultColWidth="8.7109375" defaultRowHeight="15" outlineLevelCol="1" x14ac:dyDescent="0.25"/>
  <cols>
    <col min="1" max="1" width="78.5703125" customWidth="1"/>
    <col min="2" max="2" width="18.42578125" style="10" hidden="1" customWidth="1"/>
    <col min="3" max="3" width="17.7109375" hidden="1" customWidth="1"/>
    <col min="4" max="4" width="19.7109375" hidden="1" customWidth="1"/>
    <col min="5" max="5" width="15.28515625" style="32" hidden="1" customWidth="1"/>
    <col min="6" max="12" width="17" style="32" hidden="1" customWidth="1" outlineLevel="1"/>
    <col min="13" max="13" width="10.28515625" style="32" hidden="1" customWidth="1" outlineLevel="1"/>
    <col min="14" max="14" width="17" style="32" hidden="1" customWidth="1" outlineLevel="1"/>
    <col min="15" max="15" width="12.7109375" style="32" hidden="1" customWidth="1" outlineLevel="1"/>
    <col min="16" max="16" width="17" style="32" hidden="1" customWidth="1" outlineLevel="1"/>
    <col min="17" max="17" width="12.7109375" style="32" hidden="1" customWidth="1"/>
    <col min="18" max="20" width="17" style="32" hidden="1" customWidth="1"/>
    <col min="21" max="21" width="7.7109375" style="32" hidden="1" customWidth="1"/>
    <col min="22" max="22" width="17" style="32" hidden="1" customWidth="1"/>
    <col min="23" max="23" width="8.7109375" hidden="1" customWidth="1"/>
    <col min="24" max="24" width="15.28515625" hidden="1" customWidth="1"/>
    <col min="25" max="25" width="16.42578125" hidden="1" customWidth="1"/>
    <col min="26" max="26" width="24.7109375" hidden="1" customWidth="1"/>
    <col min="27" max="27" width="22.7109375" customWidth="1"/>
    <col min="28" max="28" width="16.7109375" hidden="1" customWidth="1"/>
    <col min="29" max="29" width="0" hidden="1" customWidth="1"/>
    <col min="30" max="30" width="11.7109375" hidden="1" customWidth="1"/>
    <col min="31" max="31" width="15" hidden="1" customWidth="1"/>
    <col min="32" max="32" width="22.7109375" customWidth="1"/>
    <col min="34" max="34" width="22.7109375" customWidth="1"/>
    <col min="35" max="35" width="8.7109375" customWidth="1"/>
    <col min="36" max="36" width="22.7109375" customWidth="1"/>
    <col min="37" max="37" width="8.7109375" customWidth="1"/>
    <col min="38" max="38" width="22.7109375" customWidth="1"/>
    <col min="39" max="39" width="8.7109375" customWidth="1"/>
    <col min="40" max="40" width="22.7109375" customWidth="1"/>
    <col min="41" max="41" width="8.7109375" customWidth="1"/>
    <col min="42" max="42" width="22.7109375" customWidth="1"/>
    <col min="43" max="43" width="8.7109375" customWidth="1"/>
    <col min="44" max="44" width="22.7109375" customWidth="1"/>
    <col min="45" max="45" width="8.7109375" customWidth="1"/>
    <col min="46" max="46" width="22.7109375" customWidth="1"/>
    <col min="47" max="47" width="8.7109375" customWidth="1"/>
    <col min="48" max="48" width="22.7109375" customWidth="1"/>
    <col min="49" max="49" width="8.7109375" customWidth="1"/>
    <col min="50" max="50" width="22.7109375" hidden="1" customWidth="1"/>
    <col min="51" max="51" width="8.7109375" hidden="1" customWidth="1"/>
    <col min="52" max="52" width="22.7109375" hidden="1" customWidth="1"/>
    <col min="53" max="53" width="8.7109375" hidden="1" customWidth="1"/>
    <col min="54" max="54" width="22.7109375" hidden="1" customWidth="1"/>
    <col min="55" max="55" width="8.7109375" hidden="1" customWidth="1"/>
    <col min="56" max="56" width="22.7109375" customWidth="1"/>
  </cols>
  <sheetData>
    <row r="1" spans="1:57" ht="26.25" customHeight="1" x14ac:dyDescent="0.25"/>
    <row r="2" spans="1:57" ht="26.25" hidden="1" customHeight="1" x14ac:dyDescent="0.25">
      <c r="Y2" s="82">
        <v>0.06</v>
      </c>
    </row>
    <row r="3" spans="1:57" ht="89.25" customHeight="1" x14ac:dyDescent="0.25">
      <c r="A3" s="47"/>
      <c r="B3" s="48" t="s">
        <v>158</v>
      </c>
      <c r="C3" s="91" t="s">
        <v>161</v>
      </c>
      <c r="D3" s="48" t="s">
        <v>175</v>
      </c>
      <c r="E3" s="49" t="s">
        <v>162</v>
      </c>
      <c r="F3" s="48">
        <v>44562</v>
      </c>
      <c r="G3" s="48">
        <v>44593</v>
      </c>
      <c r="H3" s="48">
        <v>44621</v>
      </c>
      <c r="I3" s="48">
        <v>44652</v>
      </c>
      <c r="J3" s="48">
        <v>44682</v>
      </c>
      <c r="K3" s="48">
        <v>44713</v>
      </c>
      <c r="L3" s="48">
        <v>44743</v>
      </c>
      <c r="M3" s="48" t="s">
        <v>174</v>
      </c>
      <c r="N3" s="48" t="s">
        <v>172</v>
      </c>
      <c r="O3" s="48" t="s">
        <v>174</v>
      </c>
      <c r="P3" s="48">
        <v>44805</v>
      </c>
      <c r="Q3" s="48" t="s">
        <v>174</v>
      </c>
      <c r="R3" s="48">
        <v>44835</v>
      </c>
      <c r="S3" s="48">
        <v>44866</v>
      </c>
      <c r="T3" s="48">
        <v>44896</v>
      </c>
      <c r="U3" s="48" t="s">
        <v>174</v>
      </c>
      <c r="V3" s="48" t="s">
        <v>184</v>
      </c>
      <c r="W3" s="48" t="s">
        <v>174</v>
      </c>
      <c r="X3" s="48" t="s">
        <v>176</v>
      </c>
      <c r="Y3" s="48" t="s">
        <v>177</v>
      </c>
      <c r="Z3" s="48" t="s">
        <v>185</v>
      </c>
      <c r="AA3" s="48" t="s">
        <v>182</v>
      </c>
      <c r="AB3" s="90" t="s">
        <v>186</v>
      </c>
      <c r="AF3" s="48" t="s">
        <v>200</v>
      </c>
      <c r="AG3" s="48" t="s">
        <v>174</v>
      </c>
      <c r="AH3" s="48" t="s">
        <v>201</v>
      </c>
      <c r="AI3" s="48" t="s">
        <v>174</v>
      </c>
      <c r="AJ3" s="48" t="s">
        <v>202</v>
      </c>
      <c r="AK3" s="48" t="s">
        <v>174</v>
      </c>
      <c r="AL3" s="48" t="s">
        <v>203</v>
      </c>
      <c r="AM3" s="48" t="s">
        <v>174</v>
      </c>
      <c r="AN3" s="48" t="s">
        <v>204</v>
      </c>
      <c r="AO3" s="48" t="s">
        <v>174</v>
      </c>
      <c r="AP3" s="48" t="s">
        <v>205</v>
      </c>
      <c r="AQ3" s="48" t="s">
        <v>174</v>
      </c>
      <c r="AR3" s="48" t="s">
        <v>206</v>
      </c>
      <c r="AS3" s="48" t="s">
        <v>174</v>
      </c>
      <c r="AT3" s="48" t="s">
        <v>207</v>
      </c>
      <c r="AU3" s="48" t="s">
        <v>174</v>
      </c>
      <c r="AV3" s="48" t="s">
        <v>208</v>
      </c>
      <c r="AW3" s="48" t="s">
        <v>174</v>
      </c>
      <c r="AX3" s="48" t="s">
        <v>209</v>
      </c>
      <c r="AY3" s="48" t="s">
        <v>174</v>
      </c>
      <c r="AZ3" s="48" t="s">
        <v>210</v>
      </c>
      <c r="BA3" s="48" t="s">
        <v>174</v>
      </c>
      <c r="BB3" s="48" t="s">
        <v>211</v>
      </c>
      <c r="BC3" s="48" t="s">
        <v>174</v>
      </c>
      <c r="BD3" s="80" t="s">
        <v>212</v>
      </c>
      <c r="BE3" s="48" t="s">
        <v>174</v>
      </c>
    </row>
    <row r="4" spans="1:57" x14ac:dyDescent="0.25">
      <c r="A4" s="50" t="s">
        <v>0</v>
      </c>
      <c r="B4" s="51">
        <v>4233645.4296800001</v>
      </c>
      <c r="C4" s="40">
        <v>402171.60488333338</v>
      </c>
      <c r="D4" s="40">
        <f>D6+D30</f>
        <v>5097213.1833600001</v>
      </c>
      <c r="E4" s="35">
        <f>IFERROR((D4/B4)-1,0)</f>
        <v>0.20397734482579777</v>
      </c>
      <c r="F4" s="40">
        <f t="shared" ref="F4:L4" si="0">F6+F30</f>
        <v>329386.28080000001</v>
      </c>
      <c r="G4" s="40">
        <f t="shared" si="0"/>
        <v>437075.11499999993</v>
      </c>
      <c r="H4" s="40">
        <f t="shared" si="0"/>
        <v>401672.82839999994</v>
      </c>
      <c r="I4" s="40">
        <f t="shared" si="0"/>
        <v>494155.44840000005</v>
      </c>
      <c r="J4" s="40">
        <f t="shared" si="0"/>
        <v>464165.13779999997</v>
      </c>
      <c r="K4" s="40">
        <f t="shared" si="0"/>
        <v>512464.19680000003</v>
      </c>
      <c r="L4" s="40">
        <f t="shared" si="0"/>
        <v>446052.245</v>
      </c>
      <c r="M4" s="73">
        <f>L4/C4</f>
        <v>1.1091092448692295</v>
      </c>
      <c r="N4" s="40">
        <f>N6+N30</f>
        <v>464897.10980000003</v>
      </c>
      <c r="O4" s="73">
        <f>N4/$C4</f>
        <v>1.1559670154606336</v>
      </c>
      <c r="P4" s="40">
        <f>P6+P30</f>
        <v>475523.37539999996</v>
      </c>
      <c r="Q4" s="73">
        <f>P4/$C4</f>
        <v>1.1823892329194781</v>
      </c>
      <c r="R4" s="40">
        <f>R6+R30</f>
        <v>0</v>
      </c>
      <c r="S4" s="40">
        <f>S6+S30</f>
        <v>0</v>
      </c>
      <c r="T4" s="40">
        <f>T6+T30</f>
        <v>0</v>
      </c>
      <c r="U4" s="73">
        <f>T4/I4</f>
        <v>0</v>
      </c>
      <c r="V4" s="40">
        <f>V6+V30</f>
        <v>4025391.7373999995</v>
      </c>
      <c r="W4" s="73">
        <f>V4/D4</f>
        <v>0.78972403009177783</v>
      </c>
      <c r="X4" s="40">
        <f>V4/9</f>
        <v>447265.74859999993</v>
      </c>
      <c r="Y4" s="40">
        <f>Y6+Y30</f>
        <v>489101.69351600006</v>
      </c>
      <c r="Z4" s="40">
        <v>491992.32345999999</v>
      </c>
      <c r="AA4" s="40">
        <f>AA6+AA30</f>
        <v>5734959.9543200005</v>
      </c>
      <c r="AB4" s="81">
        <f t="shared" ref="AB4:AB9" si="1">(L4+N4+P4)/3</f>
        <v>462157.57673333335</v>
      </c>
      <c r="AE4" s="81"/>
      <c r="AF4" s="40">
        <f>AF6+AF30</f>
        <v>395682.1704</v>
      </c>
      <c r="AG4" s="73">
        <f>AF4/$AA4</f>
        <v>6.8994757339489815E-2</v>
      </c>
      <c r="AH4" s="40">
        <f>AH6+AH30</f>
        <v>420297.6594</v>
      </c>
      <c r="AI4" s="73">
        <f>AH4/$AA4</f>
        <v>7.3286938836146606E-2</v>
      </c>
      <c r="AJ4" s="40">
        <f>AJ6+AJ30</f>
        <v>443860.57480000006</v>
      </c>
      <c r="AK4" s="73">
        <f>AJ4/$AA4</f>
        <v>7.7395583985839539E-2</v>
      </c>
      <c r="AL4" s="40">
        <f>AL6+AL30</f>
        <v>411444.97720000002</v>
      </c>
      <c r="AM4" s="73">
        <f>AL4/$AA4</f>
        <v>7.1743304308527725E-2</v>
      </c>
      <c r="AN4" s="40">
        <f>AN6+AN30</f>
        <v>491228.57459999999</v>
      </c>
      <c r="AO4" s="73">
        <f>AN4/$AA4</f>
        <v>8.5655101084004939E-2</v>
      </c>
      <c r="AP4" s="40">
        <f>AP6+AP30</f>
        <v>510353.48219999997</v>
      </c>
      <c r="AQ4" s="73">
        <f>AP4/$AA4</f>
        <v>8.8989894657514321E-2</v>
      </c>
      <c r="AR4" s="40">
        <f>AR6+AR30</f>
        <v>417800.74699999997</v>
      </c>
      <c r="AS4" s="73">
        <f t="shared" ref="AS4" si="2">AR4/$AA4</f>
        <v>7.2851554383615388E-2</v>
      </c>
      <c r="AT4" s="40">
        <f>AT6+AT30</f>
        <v>387863.44819999993</v>
      </c>
      <c r="AU4" s="73">
        <f t="shared" ref="AU4" si="3">AT4/$AA4</f>
        <v>6.763141352152463E-2</v>
      </c>
      <c r="AV4" s="40">
        <f>AV6+AV30</f>
        <v>389143.18759999995</v>
      </c>
      <c r="AW4" s="73">
        <f t="shared" ref="AW4:BC4" si="4">AV4/$AA4</f>
        <v>6.7854560572278844E-2</v>
      </c>
      <c r="AX4" s="40">
        <f>AX6+AX30</f>
        <v>0</v>
      </c>
      <c r="AY4" s="73">
        <f t="shared" si="4"/>
        <v>0</v>
      </c>
      <c r="AZ4" s="40">
        <f>AZ6+AZ30</f>
        <v>0</v>
      </c>
      <c r="BA4" s="73">
        <f t="shared" si="4"/>
        <v>0</v>
      </c>
      <c r="BB4" s="40">
        <f>BB6+BB30</f>
        <v>0</v>
      </c>
      <c r="BC4" s="73">
        <f t="shared" si="4"/>
        <v>0</v>
      </c>
      <c r="BD4" s="40">
        <f t="shared" ref="BD4" si="5">BD6+BD30</f>
        <v>3860845.8213999998</v>
      </c>
      <c r="BE4" s="73">
        <f t="shared" ref="BE4" si="6">BD4/$AA4</f>
        <v>0.67321234187376011</v>
      </c>
    </row>
    <row r="5" spans="1:57" x14ac:dyDescent="0.25">
      <c r="A5" s="44"/>
      <c r="B5" s="52"/>
      <c r="C5" s="39"/>
      <c r="D5" s="39"/>
      <c r="E5" s="36"/>
      <c r="F5" s="39"/>
      <c r="G5" s="39"/>
      <c r="H5" s="39"/>
      <c r="I5" s="39"/>
      <c r="J5" s="39"/>
      <c r="K5" s="39"/>
      <c r="L5" s="39"/>
      <c r="M5" s="74"/>
      <c r="N5" s="39"/>
      <c r="O5" s="74"/>
      <c r="P5" s="39"/>
      <c r="Q5" s="74"/>
      <c r="R5" s="39"/>
      <c r="S5" s="39"/>
      <c r="T5" s="39"/>
      <c r="U5" s="74"/>
      <c r="V5" s="39"/>
      <c r="W5" s="74"/>
      <c r="X5" s="39"/>
      <c r="Y5" s="39"/>
      <c r="Z5" s="39"/>
      <c r="AA5" s="39"/>
      <c r="AB5" s="81">
        <f t="shared" si="1"/>
        <v>0</v>
      </c>
      <c r="AE5" s="81"/>
      <c r="AF5" s="39"/>
      <c r="AG5" s="74"/>
      <c r="AH5" s="39"/>
      <c r="AI5" s="74"/>
      <c r="AJ5" s="39"/>
      <c r="AK5" s="74"/>
      <c r="AL5" s="39"/>
      <c r="AM5" s="74"/>
      <c r="AN5" s="39"/>
      <c r="AO5" s="74"/>
      <c r="AP5" s="39"/>
      <c r="AQ5" s="74"/>
      <c r="AR5" s="39"/>
      <c r="AS5" s="74"/>
      <c r="AT5" s="39"/>
      <c r="AU5" s="74"/>
      <c r="AV5" s="39"/>
      <c r="AW5" s="74"/>
      <c r="AX5" s="39"/>
      <c r="AY5" s="74"/>
      <c r="AZ5" s="39"/>
      <c r="BA5" s="74"/>
      <c r="BB5" s="39"/>
      <c r="BC5" s="74"/>
      <c r="BD5" s="39"/>
      <c r="BE5" s="74"/>
    </row>
    <row r="6" spans="1:57" x14ac:dyDescent="0.25">
      <c r="A6" s="50" t="s">
        <v>1</v>
      </c>
      <c r="B6" s="51">
        <v>4081894.4296800001</v>
      </c>
      <c r="C6" s="40">
        <v>366708.30821666669</v>
      </c>
      <c r="D6" s="40">
        <f>D8+D23+D28+D35+D42</f>
        <v>4671653.6233600006</v>
      </c>
      <c r="E6" s="37">
        <f>IFERROR((D6/B6)-1,0)</f>
        <v>0.14448173607621562</v>
      </c>
      <c r="F6" s="40">
        <f t="shared" ref="F6:L6" si="7">F8+F23+F28+F35+F42</f>
        <v>307466.47080000001</v>
      </c>
      <c r="G6" s="40">
        <f t="shared" si="7"/>
        <v>402491.30499999993</v>
      </c>
      <c r="H6" s="40">
        <f t="shared" si="7"/>
        <v>377900.01839999994</v>
      </c>
      <c r="I6" s="40">
        <f t="shared" si="7"/>
        <v>460827.63840000005</v>
      </c>
      <c r="J6" s="40">
        <f t="shared" si="7"/>
        <v>397044.32779999997</v>
      </c>
      <c r="K6" s="40">
        <f t="shared" si="7"/>
        <v>485906.38680000004</v>
      </c>
      <c r="L6" s="40">
        <f t="shared" si="7"/>
        <v>362160.435</v>
      </c>
      <c r="M6" s="73">
        <f>L6/C6</f>
        <v>0.98759811786435003</v>
      </c>
      <c r="N6" s="40">
        <f>N8+N23+N28+N35+N42</f>
        <v>403154.30980000005</v>
      </c>
      <c r="O6" s="73">
        <f>N6/C6</f>
        <v>1.0993868989785733</v>
      </c>
      <c r="P6" s="40">
        <f>P8+P23+P28+P35+P42</f>
        <v>413883.56539999996</v>
      </c>
      <c r="Q6" s="73">
        <f>P6/$C6</f>
        <v>1.1286451823596539</v>
      </c>
      <c r="R6" s="40">
        <f>R8+R23+R28+R35+R42</f>
        <v>0</v>
      </c>
      <c r="S6" s="40">
        <f>S8+S23+S28+S35+S42</f>
        <v>0</v>
      </c>
      <c r="T6" s="40">
        <f>T8+T23+T28+T35+T42</f>
        <v>0</v>
      </c>
      <c r="U6" s="73">
        <f>T6/I6</f>
        <v>0</v>
      </c>
      <c r="V6" s="40">
        <f>V8+V23+V28+V35+V42</f>
        <v>3610834.4573999997</v>
      </c>
      <c r="W6" s="73">
        <f t="shared" ref="W6:W66" si="8">V6/D6</f>
        <v>0.77292426804600589</v>
      </c>
      <c r="X6" s="40">
        <f>V6/9</f>
        <v>401203.82859999995</v>
      </c>
      <c r="Y6" s="40">
        <f>Y8+Y23+Y28+Y35+Y42</f>
        <v>440276.05831600004</v>
      </c>
      <c r="Z6" s="40">
        <v>441324.21146000002</v>
      </c>
      <c r="AA6" s="40">
        <f>AA8+AA23+AA28+AA35+AA42</f>
        <v>5302959.9543200005</v>
      </c>
      <c r="AB6" s="81">
        <f t="shared" si="1"/>
        <v>393066.10339999996</v>
      </c>
      <c r="AE6" s="81"/>
      <c r="AF6" s="40">
        <f>AF8+AF23+AF28+AF35+AF42</f>
        <v>381496.69040000002</v>
      </c>
      <c r="AG6" s="73">
        <f>AF6/$AA6</f>
        <v>7.1940330246925172E-2</v>
      </c>
      <c r="AH6" s="40">
        <f>AH8+AH23+AH28+AH35+AH42</f>
        <v>373424.17940000002</v>
      </c>
      <c r="AI6" s="73">
        <f>AH6/$AA6</f>
        <v>7.0418065121497661E-2</v>
      </c>
      <c r="AJ6" s="40">
        <f>AJ8+AJ23+AJ28+AJ35+AJ42</f>
        <v>416957.09480000008</v>
      </c>
      <c r="AK6" s="73">
        <f>AJ6/$AA6</f>
        <v>7.8627238069246666E-2</v>
      </c>
      <c r="AL6" s="40">
        <f>AL8+AL23+AL28+AL35+AL42</f>
        <v>400926.49720000004</v>
      </c>
      <c r="AM6" s="73">
        <f>AL6/$AA6</f>
        <v>7.5604285277204378E-2</v>
      </c>
      <c r="AN6" s="40">
        <f>AN8+AN23+AN28+AN35+AN42</f>
        <v>423926.09460000001</v>
      </c>
      <c r="AO6" s="73">
        <f>AN6/$AA6</f>
        <v>7.9941409750728568E-2</v>
      </c>
      <c r="AP6" s="40">
        <f>AP8+AP23+AP28+AP35+AP42</f>
        <v>493429.50219999999</v>
      </c>
      <c r="AQ6" s="73">
        <f>AP6/$AA6</f>
        <v>9.3047940480492003E-2</v>
      </c>
      <c r="AR6" s="40">
        <f>AR8+AR23+AR28+AR35+AR42</f>
        <v>411172.26699999999</v>
      </c>
      <c r="AS6" s="73">
        <f t="shared" ref="AS6" si="9">AR6/$AA6</f>
        <v>7.7536370355775139E-2</v>
      </c>
      <c r="AT6" s="40">
        <f>AT8+AT23+AT28+AT35+AT42</f>
        <v>378042.46819999994</v>
      </c>
      <c r="AU6" s="73">
        <f t="shared" ref="AU6" si="10">AT6/$AA6</f>
        <v>7.1288953991069007E-2</v>
      </c>
      <c r="AV6" s="40">
        <f>AV8+AV23+AV28+AV35+AV42</f>
        <v>384402.70759999997</v>
      </c>
      <c r="AW6" s="73">
        <f t="shared" ref="AW6:BC6" si="11">AV6/$AA6</f>
        <v>7.248832933140488E-2</v>
      </c>
      <c r="AX6" s="40">
        <f>AX8+AX23+AX28+AX35+AX42</f>
        <v>0</v>
      </c>
      <c r="AY6" s="73">
        <f t="shared" si="11"/>
        <v>0</v>
      </c>
      <c r="AZ6" s="40">
        <f>AZ8+AZ23+AZ28+AZ35+AZ42</f>
        <v>0</v>
      </c>
      <c r="BA6" s="73">
        <f t="shared" si="11"/>
        <v>0</v>
      </c>
      <c r="BB6" s="40">
        <f>BB8+BB23+BB28+BB35+BB42</f>
        <v>0</v>
      </c>
      <c r="BC6" s="73">
        <f t="shared" si="11"/>
        <v>0</v>
      </c>
      <c r="BD6" s="40">
        <f t="shared" ref="BD6" si="12">BD8+BD23+BD28+BD35+BD42</f>
        <v>3663777.5014</v>
      </c>
      <c r="BE6" s="73">
        <f t="shared" ref="BE6" si="13">BD6/$AA6</f>
        <v>0.69089292262434343</v>
      </c>
    </row>
    <row r="7" spans="1:57" x14ac:dyDescent="0.25">
      <c r="A7" s="44"/>
      <c r="B7" s="52"/>
      <c r="C7" s="39"/>
      <c r="D7" s="39"/>
      <c r="E7" s="36"/>
      <c r="F7" s="39"/>
      <c r="G7" s="39"/>
      <c r="H7" s="39"/>
      <c r="I7" s="39"/>
      <c r="J7" s="39"/>
      <c r="K7" s="39"/>
      <c r="L7" s="39"/>
      <c r="M7" s="74"/>
      <c r="N7" s="39"/>
      <c r="O7" s="74"/>
      <c r="P7" s="39"/>
      <c r="Q7" s="74"/>
      <c r="R7" s="39"/>
      <c r="S7" s="39"/>
      <c r="T7" s="39"/>
      <c r="U7" s="74"/>
      <c r="V7" s="39"/>
      <c r="W7" s="74"/>
      <c r="X7" s="39"/>
      <c r="Y7" s="39"/>
      <c r="Z7" s="39"/>
      <c r="AA7" s="39"/>
      <c r="AB7" s="81">
        <f t="shared" si="1"/>
        <v>0</v>
      </c>
      <c r="AD7" s="17"/>
      <c r="AE7" s="81"/>
      <c r="AF7" s="39"/>
      <c r="AG7" s="74"/>
      <c r="AH7" s="39"/>
      <c r="AI7" s="74"/>
      <c r="AJ7" s="39"/>
      <c r="AK7" s="74"/>
      <c r="AL7" s="39"/>
      <c r="AM7" s="74"/>
      <c r="AN7" s="39"/>
      <c r="AO7" s="74"/>
      <c r="AP7" s="39"/>
      <c r="AQ7" s="74"/>
      <c r="AR7" s="39"/>
      <c r="AS7" s="74"/>
      <c r="AT7" s="39"/>
      <c r="AU7" s="74"/>
      <c r="AV7" s="39"/>
      <c r="AW7" s="74"/>
      <c r="AX7" s="39"/>
      <c r="AY7" s="74"/>
      <c r="AZ7" s="39"/>
      <c r="BA7" s="74"/>
      <c r="BB7" s="39"/>
      <c r="BC7" s="74"/>
      <c r="BD7" s="39"/>
      <c r="BE7" s="74"/>
    </row>
    <row r="8" spans="1:57" x14ac:dyDescent="0.25">
      <c r="A8" s="85" t="s">
        <v>149</v>
      </c>
      <c r="B8" s="86">
        <v>3127463.6996800001</v>
      </c>
      <c r="C8" s="87">
        <v>279124.97488333331</v>
      </c>
      <c r="D8" s="87">
        <f>D9+D14</f>
        <v>3620653.6233600001</v>
      </c>
      <c r="E8" s="88">
        <f>IFERROR((D8/B8)-1,0)</f>
        <v>0.15769645023552559</v>
      </c>
      <c r="F8" s="87">
        <f>F9+F14</f>
        <v>274317.19080000004</v>
      </c>
      <c r="G8" s="87">
        <f t="shared" ref="G8:V8" si="14">G9+G14</f>
        <v>269393.20499999996</v>
      </c>
      <c r="H8" s="87">
        <f t="shared" si="14"/>
        <v>271736.99839999998</v>
      </c>
      <c r="I8" s="87">
        <f t="shared" si="14"/>
        <v>313554.5184</v>
      </c>
      <c r="J8" s="87">
        <f t="shared" si="14"/>
        <v>271976.2978</v>
      </c>
      <c r="K8" s="87">
        <f t="shared" si="14"/>
        <v>269252.9068</v>
      </c>
      <c r="L8" s="87">
        <f t="shared" si="14"/>
        <v>267457.625</v>
      </c>
      <c r="M8" s="89">
        <f t="shared" ref="M8:M66" si="15">L8/C8</f>
        <v>0.95820026535350356</v>
      </c>
      <c r="N8" s="87">
        <f t="shared" si="14"/>
        <v>300817.26980000001</v>
      </c>
      <c r="O8" s="89">
        <f>N8/C8</f>
        <v>1.0777153492829994</v>
      </c>
      <c r="P8" s="87">
        <f t="shared" si="14"/>
        <v>290709.13539999997</v>
      </c>
      <c r="Q8" s="89">
        <f t="shared" ref="Q8:Q69" si="16">P8/$C8</f>
        <v>1.0415016983754626</v>
      </c>
      <c r="R8" s="87">
        <f t="shared" si="14"/>
        <v>0</v>
      </c>
      <c r="S8" s="87">
        <f t="shared" si="14"/>
        <v>0</v>
      </c>
      <c r="T8" s="87">
        <f t="shared" si="14"/>
        <v>0</v>
      </c>
      <c r="U8" s="89">
        <f>T8/C8</f>
        <v>0</v>
      </c>
      <c r="V8" s="87">
        <f t="shared" si="14"/>
        <v>2529215.1474000001</v>
      </c>
      <c r="W8" s="89">
        <f t="shared" si="8"/>
        <v>0.69855208768986443</v>
      </c>
      <c r="X8" s="87">
        <f t="shared" ref="X8:X69" si="17">V8/9</f>
        <v>281023.90526666667</v>
      </c>
      <c r="Y8" s="87">
        <f t="shared" ref="Y8" si="18">Y9+Y14</f>
        <v>312885.3395826667</v>
      </c>
      <c r="Z8" s="87">
        <v>309126.29579333332</v>
      </c>
      <c r="AA8" s="87">
        <f t="shared" ref="AA8" si="19">AA9+AA14</f>
        <v>3797557.8316533342</v>
      </c>
      <c r="AB8" s="81">
        <f t="shared" si="1"/>
        <v>286328.01006666664</v>
      </c>
      <c r="AF8" s="87">
        <f t="shared" ref="AF8" si="20">AF9+AF14</f>
        <v>313413.87040000001</v>
      </c>
      <c r="AG8" s="89">
        <f t="shared" ref="AG8:AI71" si="21">AF8/$AA8</f>
        <v>8.2530374596968215E-2</v>
      </c>
      <c r="AH8" s="87">
        <f t="shared" ref="AH8:AJ8" si="22">AH9+AH14</f>
        <v>314540.28940000001</v>
      </c>
      <c r="AI8" s="89">
        <f t="shared" si="21"/>
        <v>8.2826991277986498E-2</v>
      </c>
      <c r="AJ8" s="87">
        <f t="shared" si="22"/>
        <v>318386.16480000003</v>
      </c>
      <c r="AK8" s="89">
        <f t="shared" ref="AK8:AM8" si="23">AJ8/$AA8</f>
        <v>8.3839714604526494E-2</v>
      </c>
      <c r="AL8" s="87">
        <f t="shared" ref="AL8" si="24">AL9+AL14</f>
        <v>318533.00719999999</v>
      </c>
      <c r="AM8" s="89">
        <f t="shared" si="23"/>
        <v>8.3878382192094494E-2</v>
      </c>
      <c r="AN8" s="87">
        <f t="shared" ref="AN8" si="25">AN9+AN14</f>
        <v>318303.55459999997</v>
      </c>
      <c r="AO8" s="89">
        <f t="shared" ref="AO8:AQ8" si="26">AN8/$AA8</f>
        <v>8.3817961097756577E-2</v>
      </c>
      <c r="AP8" s="87">
        <f t="shared" ref="AP8" si="27">AP9+AP14</f>
        <v>323835.81220000004</v>
      </c>
      <c r="AQ8" s="89">
        <f t="shared" si="26"/>
        <v>8.5274754606966013E-2</v>
      </c>
      <c r="AR8" s="87">
        <f t="shared" ref="AR8" si="28">AR9+AR14</f>
        <v>308247.72699999996</v>
      </c>
      <c r="AS8" s="89">
        <f t="shared" ref="AS8" si="29">AR8/$AA8</f>
        <v>8.1169988888832492E-2</v>
      </c>
      <c r="AT8" s="87">
        <f t="shared" ref="AT8" si="30">AT9+AT14</f>
        <v>312690.01819999999</v>
      </c>
      <c r="AU8" s="89">
        <f t="shared" ref="AU8" si="31">AT8/$AA8</f>
        <v>8.233976467551643E-2</v>
      </c>
      <c r="AV8" s="87">
        <f t="shared" ref="AV8" si="32">AV9+AV14</f>
        <v>307332.25760000001</v>
      </c>
      <c r="AW8" s="89">
        <f t="shared" ref="AW8:BC8" si="33">AV8/$AA8</f>
        <v>8.0928920960289225E-2</v>
      </c>
      <c r="AX8" s="87">
        <f t="shared" ref="AX8" si="34">AX9+AX14</f>
        <v>0</v>
      </c>
      <c r="AY8" s="89">
        <f t="shared" si="33"/>
        <v>0</v>
      </c>
      <c r="AZ8" s="87">
        <f t="shared" ref="AZ8" si="35">AZ9+AZ14</f>
        <v>0</v>
      </c>
      <c r="BA8" s="89">
        <f t="shared" si="33"/>
        <v>0</v>
      </c>
      <c r="BB8" s="87">
        <f t="shared" ref="BB8" si="36">BB9+BB14</f>
        <v>0</v>
      </c>
      <c r="BC8" s="89">
        <f t="shared" si="33"/>
        <v>0</v>
      </c>
      <c r="BD8" s="87">
        <f t="shared" ref="BD8" si="37">BD9+BD14</f>
        <v>2835282.7014000001</v>
      </c>
      <c r="BE8" s="89">
        <f t="shared" ref="BE8" si="38">BD8/$AA8</f>
        <v>0.74660685290093642</v>
      </c>
    </row>
    <row r="9" spans="1:57" x14ac:dyDescent="0.25">
      <c r="A9" s="50" t="s">
        <v>2</v>
      </c>
      <c r="B9" s="51">
        <v>2149282.9486799999</v>
      </c>
      <c r="C9" s="40">
        <v>190589.68918333334</v>
      </c>
      <c r="D9" s="40">
        <f>SUM(D10:D13)</f>
        <v>2558230.19496</v>
      </c>
      <c r="E9" s="35">
        <f>IFERROR((D9/B9)-1,0)</f>
        <v>0.19027147939323608</v>
      </c>
      <c r="F9" s="40">
        <f>SUM(F10:F13)</f>
        <v>192839.42080000002</v>
      </c>
      <c r="G9" s="40">
        <f t="shared" ref="G9:V9" si="39">SUM(G10:G13)</f>
        <v>190435.30499999999</v>
      </c>
      <c r="H9" s="40">
        <f t="shared" si="39"/>
        <v>191291.74839999998</v>
      </c>
      <c r="I9" s="40">
        <f t="shared" si="39"/>
        <v>192126.46840000001</v>
      </c>
      <c r="J9" s="40">
        <f t="shared" si="39"/>
        <v>189879.40780000002</v>
      </c>
      <c r="K9" s="40">
        <f t="shared" si="39"/>
        <v>190271.71680000002</v>
      </c>
      <c r="L9" s="40">
        <f t="shared" si="39"/>
        <v>190193.255</v>
      </c>
      <c r="M9" s="73">
        <f t="shared" si="15"/>
        <v>0.99791995996723626</v>
      </c>
      <c r="N9" s="40">
        <f t="shared" si="39"/>
        <v>195101.3898</v>
      </c>
      <c r="O9" s="73">
        <f t="shared" ref="O9:O70" si="40">N9/C9</f>
        <v>1.0236723226529152</v>
      </c>
      <c r="P9" s="40">
        <f t="shared" si="39"/>
        <v>195390.1954</v>
      </c>
      <c r="Q9" s="73">
        <f t="shared" si="16"/>
        <v>1.0251876491180429</v>
      </c>
      <c r="R9" s="40">
        <f t="shared" si="39"/>
        <v>0</v>
      </c>
      <c r="S9" s="40">
        <f t="shared" si="39"/>
        <v>0</v>
      </c>
      <c r="T9" s="40">
        <f t="shared" si="39"/>
        <v>0</v>
      </c>
      <c r="U9" s="73">
        <f t="shared" ref="U9:U33" si="41">T9/I9</f>
        <v>0</v>
      </c>
      <c r="V9" s="40">
        <f t="shared" si="39"/>
        <v>1727528.9074000004</v>
      </c>
      <c r="W9" s="73">
        <f t="shared" si="8"/>
        <v>0.67528282279031249</v>
      </c>
      <c r="X9" s="40">
        <f t="shared" si="17"/>
        <v>191947.65637777781</v>
      </c>
      <c r="Y9" s="40">
        <f t="shared" ref="Y9" si="42">SUM(Y10:Y13)</f>
        <v>218464.51576044445</v>
      </c>
      <c r="Z9" s="40">
        <v>211142.42201555558</v>
      </c>
      <c r="AA9" s="40">
        <f t="shared" ref="AA9" si="43">SUM(AA10:AA13)</f>
        <v>2632012.3116533342</v>
      </c>
      <c r="AB9" s="81">
        <f t="shared" si="1"/>
        <v>193561.6134</v>
      </c>
      <c r="AF9" s="40">
        <f t="shared" ref="AF9" si="44">SUM(AF10:AF13)</f>
        <v>222463.49040000001</v>
      </c>
      <c r="AG9" s="73">
        <f t="shared" si="21"/>
        <v>8.4522207367737023E-2</v>
      </c>
      <c r="AH9" s="40">
        <f t="shared" ref="AH9:AJ9" si="45">SUM(AH10:AH13)</f>
        <v>226008.1894</v>
      </c>
      <c r="AI9" s="73">
        <f t="shared" si="21"/>
        <v>8.5868971204785094E-2</v>
      </c>
      <c r="AJ9" s="40">
        <f t="shared" si="45"/>
        <v>224801.18480000002</v>
      </c>
      <c r="AK9" s="73">
        <f t="shared" ref="AK9:AM9" si="46">AJ9/$AA9</f>
        <v>8.5410384976044473E-2</v>
      </c>
      <c r="AL9" s="40">
        <f t="shared" ref="AL9" si="47">SUM(AL10:AL13)</f>
        <v>225037.52720000001</v>
      </c>
      <c r="AM9" s="73">
        <f t="shared" si="46"/>
        <v>8.5500180300691536E-2</v>
      </c>
      <c r="AN9" s="40">
        <f t="shared" ref="AN9" si="48">SUM(AN10:AN13)</f>
        <v>224155.82459999999</v>
      </c>
      <c r="AO9" s="73">
        <f t="shared" ref="AO9:AQ9" si="49">AN9/$AA9</f>
        <v>8.5165188478618273E-2</v>
      </c>
      <c r="AP9" s="40">
        <f t="shared" ref="AP9" si="50">SUM(AP10:AP13)</f>
        <v>221539.59220000001</v>
      </c>
      <c r="AQ9" s="73">
        <f t="shared" si="49"/>
        <v>8.4171183857736948E-2</v>
      </c>
      <c r="AR9" s="40">
        <f t="shared" ref="AR9" si="51">SUM(AR10:AR13)</f>
        <v>218638.53699999998</v>
      </c>
      <c r="AS9" s="73">
        <f t="shared" ref="AS9" si="52">AR9/$AA9</f>
        <v>8.3068964393505904E-2</v>
      </c>
      <c r="AT9" s="40">
        <f t="shared" ref="AT9" si="53">SUM(AT10:AT13)</f>
        <v>219963.15820000001</v>
      </c>
      <c r="AU9" s="73">
        <f t="shared" ref="AU9" si="54">AT9/$AA9</f>
        <v>8.3572237571270011E-2</v>
      </c>
      <c r="AV9" s="40">
        <f t="shared" ref="AV9" si="55">SUM(AV10:AV13)</f>
        <v>219863.16759999999</v>
      </c>
      <c r="AW9" s="73">
        <f t="shared" ref="AW9:BC9" si="56">AV9/$AA9</f>
        <v>8.3534247399431785E-2</v>
      </c>
      <c r="AX9" s="40">
        <f t="shared" ref="AX9" si="57">SUM(AX10:AX13)</f>
        <v>0</v>
      </c>
      <c r="AY9" s="73">
        <f t="shared" si="56"/>
        <v>0</v>
      </c>
      <c r="AZ9" s="40">
        <f t="shared" ref="AZ9" si="58">SUM(AZ10:AZ13)</f>
        <v>0</v>
      </c>
      <c r="BA9" s="73">
        <f t="shared" si="56"/>
        <v>0</v>
      </c>
      <c r="BB9" s="40">
        <f t="shared" ref="BB9" si="59">SUM(BB10:BB13)</f>
        <v>0</v>
      </c>
      <c r="BC9" s="73">
        <f t="shared" si="56"/>
        <v>0</v>
      </c>
      <c r="BD9" s="40">
        <f t="shared" ref="BD9" si="60">SUM(BD10:BD13)</f>
        <v>2002470.6714000001</v>
      </c>
      <c r="BE9" s="73">
        <f t="shared" ref="BE9" si="61">BD9/$AA9</f>
        <v>0.76081356554982105</v>
      </c>
    </row>
    <row r="10" spans="1:57" x14ac:dyDescent="0.25">
      <c r="A10" s="93" t="s">
        <v>3</v>
      </c>
      <c r="B10" s="94">
        <v>2211010.3259999999</v>
      </c>
      <c r="C10" s="46">
        <f>D10/12</f>
        <v>216048.65700000001</v>
      </c>
      <c r="D10" s="46">
        <f>Mensalidades!E12</f>
        <v>2592583.8840000001</v>
      </c>
      <c r="E10" s="95">
        <f>(D10/B10)-1</f>
        <v>0.17257882223024956</v>
      </c>
      <c r="F10" s="46">
        <v>199820.32</v>
      </c>
      <c r="G10" s="46">
        <v>198150.75</v>
      </c>
      <c r="H10" s="46">
        <v>196397.86</v>
      </c>
      <c r="I10" s="46">
        <v>196397.86</v>
      </c>
      <c r="J10" s="46">
        <v>194895.37</v>
      </c>
      <c r="K10" s="46">
        <v>195312.72</v>
      </c>
      <c r="L10" s="46">
        <v>195229.25</v>
      </c>
      <c r="M10" s="76">
        <f t="shared" si="15"/>
        <v>0.90363556390910582</v>
      </c>
      <c r="N10" s="46">
        <v>196898.67</v>
      </c>
      <c r="O10" s="76">
        <f t="shared" si="40"/>
        <v>0.91136261957879239</v>
      </c>
      <c r="P10" s="46">
        <v>197649.91</v>
      </c>
      <c r="Q10" s="76">
        <f t="shared" si="16"/>
        <v>0.91483979925873826</v>
      </c>
      <c r="R10" s="46"/>
      <c r="S10" s="46"/>
      <c r="T10" s="46"/>
      <c r="U10" s="76">
        <f t="shared" si="41"/>
        <v>0</v>
      </c>
      <c r="V10" s="46">
        <f>T10+S10+R10+P10+N10+L10+K10+J10+I10+H10+G10+F10</f>
        <v>1770752.7100000002</v>
      </c>
      <c r="W10" s="76">
        <f t="shared" si="8"/>
        <v>0.68300691095401411</v>
      </c>
      <c r="X10" s="46">
        <f t="shared" si="17"/>
        <v>196750.30111111113</v>
      </c>
      <c r="Y10" s="96">
        <f>X10+(X10*$Y$2)+15000</f>
        <v>223555.3191777778</v>
      </c>
      <c r="Z10" s="96">
        <f>Y10</f>
        <v>223555.3191777778</v>
      </c>
      <c r="AA10" s="96">
        <f t="shared" ref="AA10:AA46" si="62">Z10*12</f>
        <v>2682663.8301333338</v>
      </c>
      <c r="AB10" s="81">
        <f>(L10+N10+P10)/3</f>
        <v>196592.61000000002</v>
      </c>
      <c r="AF10" s="96">
        <v>204382.76</v>
      </c>
      <c r="AG10" s="102">
        <f t="shared" si="21"/>
        <v>7.6186497057233515E-2</v>
      </c>
      <c r="AH10" s="96">
        <v>205799.01</v>
      </c>
      <c r="AI10" s="102">
        <f t="shared" si="21"/>
        <v>7.6714423808282903E-2</v>
      </c>
      <c r="AJ10" s="96">
        <v>204780.92</v>
      </c>
      <c r="AK10" s="102">
        <f t="shared" ref="AK10:AM10" si="63">AJ10/$AA10</f>
        <v>7.6334916697267274E-2</v>
      </c>
      <c r="AL10" s="96">
        <v>204957.88</v>
      </c>
      <c r="AM10" s="102">
        <f t="shared" si="63"/>
        <v>7.6400880981726732E-2</v>
      </c>
      <c r="AN10" s="96">
        <v>204515.49</v>
      </c>
      <c r="AO10" s="102">
        <f t="shared" ref="AO10:AQ10" si="64">AN10/$AA10</f>
        <v>7.623597399821623E-2</v>
      </c>
      <c r="AP10" s="96">
        <v>202657.43</v>
      </c>
      <c r="AQ10" s="102">
        <f t="shared" si="64"/>
        <v>7.5543356466668252E-2</v>
      </c>
      <c r="AR10" s="96">
        <v>200062.75</v>
      </c>
      <c r="AS10" s="102">
        <f t="shared" ref="AS10" si="65">AR10/$AA10</f>
        <v>7.4576153654726265E-2</v>
      </c>
      <c r="AT10" s="96">
        <v>200091.53</v>
      </c>
      <c r="AU10" s="102">
        <f t="shared" ref="AU10" si="66">AT10/$AA10</f>
        <v>7.4586881797282456E-2</v>
      </c>
      <c r="AV10" s="96">
        <v>199206.74</v>
      </c>
      <c r="AW10" s="102">
        <f t="shared" ref="AW10:BC10" si="67">AV10/$AA10</f>
        <v>7.4257064102623324E-2</v>
      </c>
      <c r="AX10" s="96"/>
      <c r="AY10" s="102">
        <f t="shared" si="67"/>
        <v>0</v>
      </c>
      <c r="AZ10" s="96"/>
      <c r="BA10" s="102">
        <f t="shared" si="67"/>
        <v>0</v>
      </c>
      <c r="BB10" s="96"/>
      <c r="BC10" s="102">
        <f t="shared" si="67"/>
        <v>0</v>
      </c>
      <c r="BD10" s="104">
        <f>AF10+AH10+AJ10+AL10+AN10+AP10+AR10+AT10+AV10+AX10+AZ10+BB10</f>
        <v>1826454.51</v>
      </c>
      <c r="BE10" s="102">
        <f t="shared" ref="BE10" si="68">BD10/$AA10</f>
        <v>0.68083614856402697</v>
      </c>
    </row>
    <row r="11" spans="1:57" x14ac:dyDescent="0.25">
      <c r="A11" s="93" t="s">
        <v>4</v>
      </c>
      <c r="B11" s="94">
        <v>75460.896000000008</v>
      </c>
      <c r="C11" s="46">
        <v>6124.0891833333326</v>
      </c>
      <c r="D11" s="46">
        <f>Mensalidades!E14</f>
        <v>121201.344</v>
      </c>
      <c r="E11" s="95">
        <f>IFERROR((D11/B11)-1,0)</f>
        <v>0.60614769270696156</v>
      </c>
      <c r="F11" s="46">
        <v>5008.32</v>
      </c>
      <c r="G11" s="46">
        <v>4173.6000000000004</v>
      </c>
      <c r="H11" s="46">
        <v>6677.76</v>
      </c>
      <c r="I11" s="46">
        <v>7512.48</v>
      </c>
      <c r="J11" s="46">
        <v>6677.76</v>
      </c>
      <c r="K11" s="46">
        <v>6677.76</v>
      </c>
      <c r="L11" s="46">
        <v>6677.76</v>
      </c>
      <c r="M11" s="76">
        <f t="shared" si="15"/>
        <v>1.0904086795753203</v>
      </c>
      <c r="N11" s="46">
        <v>10016.64</v>
      </c>
      <c r="O11" s="76">
        <f t="shared" si="40"/>
        <v>1.6356130193629801</v>
      </c>
      <c r="P11" s="46">
        <v>9599.2800000000007</v>
      </c>
      <c r="Q11" s="76">
        <f t="shared" si="16"/>
        <v>1.5674624768895229</v>
      </c>
      <c r="R11" s="46"/>
      <c r="S11" s="46"/>
      <c r="T11" s="46"/>
      <c r="U11" s="76">
        <f t="shared" si="41"/>
        <v>0</v>
      </c>
      <c r="V11" s="46">
        <f>T11+S11+R11+P11+N11+L11+K11+J11+I11+H11+G11+F11</f>
        <v>63021.360000000008</v>
      </c>
      <c r="W11" s="76">
        <f t="shared" si="8"/>
        <v>0.51997245179063367</v>
      </c>
      <c r="X11" s="46">
        <f t="shared" si="17"/>
        <v>7002.3733333333339</v>
      </c>
      <c r="Y11" s="96">
        <f t="shared" ref="Y11:Y13" si="69">X11+(X11*$Y$2)</f>
        <v>7422.5157333333336</v>
      </c>
      <c r="Z11" s="96">
        <f>AB11</f>
        <v>8764.56</v>
      </c>
      <c r="AA11" s="96">
        <f t="shared" si="62"/>
        <v>105174.72</v>
      </c>
      <c r="AB11" s="81">
        <f t="shared" ref="AB11:AB72" si="70">(L11+N11+P11)/3</f>
        <v>8764.56</v>
      </c>
      <c r="AF11" s="96">
        <v>7078.4</v>
      </c>
      <c r="AG11" s="102">
        <f t="shared" si="21"/>
        <v>6.730134389708857E-2</v>
      </c>
      <c r="AH11" s="96">
        <v>8848</v>
      </c>
      <c r="AI11" s="102">
        <f t="shared" si="21"/>
        <v>8.4126679871360716E-2</v>
      </c>
      <c r="AJ11" s="96">
        <v>8848</v>
      </c>
      <c r="AK11" s="102">
        <f t="shared" ref="AK11:AM11" si="71">AJ11/$AA11</f>
        <v>8.4126679871360716E-2</v>
      </c>
      <c r="AL11" s="96">
        <v>8848</v>
      </c>
      <c r="AM11" s="102">
        <f t="shared" si="71"/>
        <v>8.4126679871360716E-2</v>
      </c>
      <c r="AN11" s="96">
        <v>8405.6</v>
      </c>
      <c r="AO11" s="102">
        <f t="shared" ref="AO11:AQ11" si="72">AN11/$AA11</f>
        <v>7.992034587779269E-2</v>
      </c>
      <c r="AP11" s="96">
        <v>7693.2</v>
      </c>
      <c r="AQ11" s="102">
        <f t="shared" si="72"/>
        <v>7.3146855061748672E-2</v>
      </c>
      <c r="AR11" s="96">
        <v>7520.8</v>
      </c>
      <c r="AS11" s="102">
        <f t="shared" ref="AS11" si="73">AR11/$AA11</f>
        <v>7.150767789065661E-2</v>
      </c>
      <c r="AT11" s="96">
        <v>8848</v>
      </c>
      <c r="AU11" s="102">
        <f t="shared" ref="AU11" si="74">AT11/$AA11</f>
        <v>8.4126679871360716E-2</v>
      </c>
      <c r="AV11" s="96">
        <v>9732.7999999999993</v>
      </c>
      <c r="AW11" s="102">
        <f t="shared" ref="AW11:BC11" si="75">AV11/$AA11</f>
        <v>9.2539347858496782E-2</v>
      </c>
      <c r="AX11" s="96"/>
      <c r="AY11" s="102">
        <f t="shared" si="75"/>
        <v>0</v>
      </c>
      <c r="AZ11" s="96"/>
      <c r="BA11" s="102">
        <f t="shared" si="75"/>
        <v>0</v>
      </c>
      <c r="BB11" s="96"/>
      <c r="BC11" s="102">
        <f t="shared" si="75"/>
        <v>0</v>
      </c>
      <c r="BD11" s="104">
        <f t="shared" ref="BD11:BD13" si="76">AF11+AH11+AJ11+AL11+AN11+AP11+AR11+AT11+AV11+AX11+AZ11+BB11</f>
        <v>75822.8</v>
      </c>
      <c r="BE11" s="102">
        <f t="shared" ref="BE11" si="77">BD11/$AA11</f>
        <v>0.72092229007122621</v>
      </c>
    </row>
    <row r="12" spans="1:57" x14ac:dyDescent="0.25">
      <c r="A12" s="18" t="s">
        <v>21</v>
      </c>
      <c r="B12" s="45">
        <v>0</v>
      </c>
      <c r="C12" s="38"/>
      <c r="D12" s="38"/>
      <c r="E12" s="35"/>
      <c r="F12" s="38"/>
      <c r="G12" s="38"/>
      <c r="H12" s="38"/>
      <c r="I12" s="38"/>
      <c r="J12" s="38"/>
      <c r="K12" s="38"/>
      <c r="L12" s="38"/>
      <c r="M12" s="75" t="e">
        <f t="shared" si="15"/>
        <v>#DIV/0!</v>
      </c>
      <c r="N12" s="38"/>
      <c r="O12" s="75" t="e">
        <f t="shared" si="40"/>
        <v>#DIV/0!</v>
      </c>
      <c r="P12" s="38"/>
      <c r="Q12" s="75" t="e">
        <f t="shared" si="16"/>
        <v>#DIV/0!</v>
      </c>
      <c r="R12" s="38"/>
      <c r="S12" s="38"/>
      <c r="T12" s="38"/>
      <c r="U12" s="75" t="e">
        <f t="shared" si="41"/>
        <v>#DIV/0!</v>
      </c>
      <c r="V12" s="38"/>
      <c r="W12" s="75" t="e">
        <f t="shared" si="8"/>
        <v>#DIV/0!</v>
      </c>
      <c r="X12" s="38">
        <f t="shared" si="17"/>
        <v>0</v>
      </c>
      <c r="Y12" s="83">
        <f t="shared" si="69"/>
        <v>0</v>
      </c>
      <c r="Z12" s="83">
        <v>0</v>
      </c>
      <c r="AA12" s="83">
        <f t="shared" si="62"/>
        <v>0</v>
      </c>
      <c r="AB12" s="81">
        <f t="shared" si="70"/>
        <v>0</v>
      </c>
      <c r="AF12" s="96">
        <v>23690</v>
      </c>
      <c r="AG12" s="103"/>
      <c r="AH12" s="96">
        <v>24240</v>
      </c>
      <c r="AI12" s="103"/>
      <c r="AJ12" s="83">
        <v>23990</v>
      </c>
      <c r="AK12" s="103"/>
      <c r="AL12" s="83">
        <v>24060</v>
      </c>
      <c r="AM12" s="103"/>
      <c r="AN12" s="83">
        <v>24010</v>
      </c>
      <c r="AO12" s="103"/>
      <c r="AP12" s="83">
        <v>23810</v>
      </c>
      <c r="AQ12" s="103"/>
      <c r="AR12" s="83">
        <v>23510</v>
      </c>
      <c r="AS12" s="103"/>
      <c r="AT12" s="83">
        <v>23560</v>
      </c>
      <c r="AU12" s="103"/>
      <c r="AV12" s="83">
        <v>23460</v>
      </c>
      <c r="AW12" s="103"/>
      <c r="AX12" s="83"/>
      <c r="AY12" s="103"/>
      <c r="AZ12" s="83"/>
      <c r="BA12" s="103"/>
      <c r="BB12" s="83"/>
      <c r="BC12" s="103"/>
      <c r="BD12" s="104">
        <f t="shared" si="76"/>
        <v>214330</v>
      </c>
      <c r="BE12" s="102"/>
    </row>
    <row r="13" spans="1:57" x14ac:dyDescent="0.25">
      <c r="A13" s="18" t="s">
        <v>12</v>
      </c>
      <c r="B13" s="45">
        <v>-137188.27332000001</v>
      </c>
      <c r="C13" s="38">
        <v>-11774.4</v>
      </c>
      <c r="D13" s="38">
        <f>-D10*0.06</f>
        <v>-155555.03304000001</v>
      </c>
      <c r="E13" s="35">
        <f>IFERROR((D13/B13)-1,0)</f>
        <v>0.13387995398964181</v>
      </c>
      <c r="F13" s="38">
        <f>-F10*0.06</f>
        <v>-11989.2192</v>
      </c>
      <c r="G13" s="38">
        <f t="shared" ref="G13:V13" si="78">-G10*0.06</f>
        <v>-11889.045</v>
      </c>
      <c r="H13" s="38">
        <f t="shared" si="78"/>
        <v>-11783.871599999999</v>
      </c>
      <c r="I13" s="38">
        <f t="shared" si="78"/>
        <v>-11783.871599999999</v>
      </c>
      <c r="J13" s="38">
        <f t="shared" si="78"/>
        <v>-11693.7222</v>
      </c>
      <c r="K13" s="38">
        <f t="shared" si="78"/>
        <v>-11718.763199999999</v>
      </c>
      <c r="L13" s="38">
        <f t="shared" si="78"/>
        <v>-11713.754999999999</v>
      </c>
      <c r="M13" s="75">
        <f t="shared" si="15"/>
        <v>0.99484941907867908</v>
      </c>
      <c r="N13" s="38">
        <f t="shared" si="78"/>
        <v>-11813.9202</v>
      </c>
      <c r="O13" s="75">
        <f t="shared" si="40"/>
        <v>1.003356451284142</v>
      </c>
      <c r="P13" s="38">
        <f t="shared" si="78"/>
        <v>-11858.9946</v>
      </c>
      <c r="Q13" s="75">
        <f t="shared" si="16"/>
        <v>1.0071846208724011</v>
      </c>
      <c r="R13" s="38">
        <f t="shared" si="78"/>
        <v>0</v>
      </c>
      <c r="S13" s="38">
        <f t="shared" si="78"/>
        <v>0</v>
      </c>
      <c r="T13" s="38">
        <f t="shared" si="78"/>
        <v>0</v>
      </c>
      <c r="U13" s="75">
        <f t="shared" si="41"/>
        <v>0</v>
      </c>
      <c r="V13" s="38">
        <f t="shared" si="78"/>
        <v>-106245.16260000001</v>
      </c>
      <c r="W13" s="75">
        <f t="shared" si="8"/>
        <v>0.68300691095401411</v>
      </c>
      <c r="X13" s="38">
        <f t="shared" si="17"/>
        <v>-11805.018066666667</v>
      </c>
      <c r="Y13" s="83">
        <f t="shared" si="69"/>
        <v>-12513.319150666668</v>
      </c>
      <c r="Z13" s="83">
        <v>-12985.519873333335</v>
      </c>
      <c r="AA13" s="83">
        <f t="shared" si="62"/>
        <v>-155826.23848</v>
      </c>
      <c r="AB13" s="81">
        <f t="shared" si="70"/>
        <v>-11795.556599999998</v>
      </c>
      <c r="AF13" s="96">
        <f>-(SUM(AF10:AF11))*0.06</f>
        <v>-12687.669599999999</v>
      </c>
      <c r="AG13" s="103">
        <f t="shared" si="21"/>
        <v>8.1421907656639203E-2</v>
      </c>
      <c r="AH13" s="96">
        <f>-(SUM(AH10:AH11))*0.06</f>
        <v>-12878.820600000001</v>
      </c>
      <c r="AI13" s="103">
        <f t="shared" si="21"/>
        <v>8.2648600939263336E-2</v>
      </c>
      <c r="AJ13" s="96">
        <f>-(SUM(AJ10:AJ11))*0.06</f>
        <v>-12817.735200000001</v>
      </c>
      <c r="AK13" s="103">
        <f t="shared" ref="AK13:AM13" si="79">AJ13/$AA13</f>
        <v>8.2256591220002617E-2</v>
      </c>
      <c r="AL13" s="96">
        <f>-(SUM(AL10:AL11))*0.06</f>
        <v>-12828.352800000001</v>
      </c>
      <c r="AM13" s="103">
        <f t="shared" si="79"/>
        <v>8.2324728653746557E-2</v>
      </c>
      <c r="AN13" s="96">
        <f>-(SUM(AN10:AN11))*0.06</f>
        <v>-12775.2654</v>
      </c>
      <c r="AO13" s="103">
        <f t="shared" ref="AO13:AQ13" si="80">AN13/$AA13</f>
        <v>8.1984045335469491E-2</v>
      </c>
      <c r="AP13" s="96">
        <f>-(SUM(AP10:AP11))*0.06</f>
        <v>-12621.0378</v>
      </c>
      <c r="AQ13" s="103">
        <f t="shared" si="80"/>
        <v>8.0994304445203474E-2</v>
      </c>
      <c r="AR13" s="83">
        <f>-(SUM(AR10:AR11))*0.06</f>
        <v>-12455.012999999999</v>
      </c>
      <c r="AS13" s="103">
        <f t="shared" ref="AS13" si="81">AR13/$AA13</f>
        <v>7.9928856150875874E-2</v>
      </c>
      <c r="AT13" s="83">
        <f>-(SUM(AT10:AT11))*0.06</f>
        <v>-12536.371799999999</v>
      </c>
      <c r="AU13" s="103">
        <f t="shared" ref="AU13" si="82">AT13/$AA13</f>
        <v>8.0450968478001331E-2</v>
      </c>
      <c r="AV13" s="83">
        <f>-(SUM(AV10:AV11))*0.06</f>
        <v>-12536.372399999998</v>
      </c>
      <c r="AW13" s="103">
        <f t="shared" ref="AW13:BC13" si="83">AV13/$AA13</f>
        <v>8.0450972328444018E-2</v>
      </c>
      <c r="AX13" s="83"/>
      <c r="AY13" s="103">
        <f t="shared" si="83"/>
        <v>0</v>
      </c>
      <c r="AZ13" s="83"/>
      <c r="BA13" s="103">
        <f t="shared" si="83"/>
        <v>0</v>
      </c>
      <c r="BB13" s="83"/>
      <c r="BC13" s="103">
        <f t="shared" si="83"/>
        <v>0</v>
      </c>
      <c r="BD13" s="104">
        <f t="shared" si="76"/>
        <v>-114136.63860000001</v>
      </c>
      <c r="BE13" s="103">
        <f t="shared" ref="BE13" si="84">BD13/$AA13</f>
        <v>0.73246097520764597</v>
      </c>
    </row>
    <row r="14" spans="1:57" ht="15.75" customHeight="1" x14ac:dyDescent="0.25">
      <c r="A14" s="50" t="s">
        <v>153</v>
      </c>
      <c r="B14" s="51">
        <v>978180.75100000005</v>
      </c>
      <c r="C14" s="40">
        <v>88535.285700000008</v>
      </c>
      <c r="D14" s="40">
        <f>SUM(D15:D22)</f>
        <v>1062423.4284000001</v>
      </c>
      <c r="E14" s="35">
        <f>IFERROR((D14/B14)-1,0)</f>
        <v>8.6121790184358282E-2</v>
      </c>
      <c r="F14" s="40">
        <f>SUM(F15:F22)</f>
        <v>81477.77</v>
      </c>
      <c r="G14" s="40">
        <f t="shared" ref="G14:T14" si="85">SUM(G15:G22)</f>
        <v>78957.899999999994</v>
      </c>
      <c r="H14" s="40">
        <f t="shared" si="85"/>
        <v>80445.25</v>
      </c>
      <c r="I14" s="40">
        <f t="shared" si="85"/>
        <v>121428.04999999999</v>
      </c>
      <c r="J14" s="40">
        <f t="shared" si="85"/>
        <v>82096.89</v>
      </c>
      <c r="K14" s="40">
        <f t="shared" si="85"/>
        <v>78981.189999999988</v>
      </c>
      <c r="L14" s="40">
        <f t="shared" si="85"/>
        <v>77264.369999999981</v>
      </c>
      <c r="M14" s="73">
        <f t="shared" si="15"/>
        <v>0.87269577761129846</v>
      </c>
      <c r="N14" s="40">
        <f t="shared" si="85"/>
        <v>105715.87999999999</v>
      </c>
      <c r="O14" s="73">
        <f t="shared" si="40"/>
        <v>1.1940536382094713</v>
      </c>
      <c r="P14" s="40">
        <f t="shared" si="85"/>
        <v>95318.939999999988</v>
      </c>
      <c r="Q14" s="73">
        <f t="shared" si="16"/>
        <v>1.0766209116101602</v>
      </c>
      <c r="R14" s="40">
        <f t="shared" si="85"/>
        <v>0</v>
      </c>
      <c r="S14" s="40">
        <f t="shared" si="85"/>
        <v>0</v>
      </c>
      <c r="T14" s="40">
        <f t="shared" si="85"/>
        <v>0</v>
      </c>
      <c r="U14" s="73">
        <f t="shared" si="41"/>
        <v>0</v>
      </c>
      <c r="V14" s="40">
        <f>SUM(V15:V22)</f>
        <v>801686.24</v>
      </c>
      <c r="W14" s="73">
        <f t="shared" si="8"/>
        <v>0.75458260668002408</v>
      </c>
      <c r="X14" s="40">
        <f t="shared" si="17"/>
        <v>89076.248888888891</v>
      </c>
      <c r="Y14" s="40">
        <f t="shared" ref="Y14" si="86">SUM(Y15:Y22)</f>
        <v>94420.823822222243</v>
      </c>
      <c r="Z14" s="40">
        <v>97983.873777777757</v>
      </c>
      <c r="AA14" s="40">
        <f>SUM(AA15:AA22)</f>
        <v>1165545.5199999998</v>
      </c>
      <c r="AB14" s="81">
        <f t="shared" si="70"/>
        <v>92766.396666666653</v>
      </c>
      <c r="AF14" s="40">
        <f>SUM(AF15:AF22)</f>
        <v>90950.38</v>
      </c>
      <c r="AG14" s="73">
        <f t="shared" si="21"/>
        <v>7.8032456424353136E-2</v>
      </c>
      <c r="AH14" s="40">
        <f>SUM(AH15:AH22)</f>
        <v>88532.1</v>
      </c>
      <c r="AI14" s="73">
        <f t="shared" si="21"/>
        <v>7.5957651143474872E-2</v>
      </c>
      <c r="AJ14" s="40">
        <f>SUM(AJ15:AJ22)</f>
        <v>93584.98</v>
      </c>
      <c r="AK14" s="73">
        <f t="shared" ref="AK14:AM14" si="87">AJ14/$AA14</f>
        <v>8.0292857202179463E-2</v>
      </c>
      <c r="AL14" s="40">
        <f>SUM(AL15:AL22)</f>
        <v>93495.48000000001</v>
      </c>
      <c r="AM14" s="73">
        <f t="shared" si="87"/>
        <v>8.0216069124438849E-2</v>
      </c>
      <c r="AN14" s="40">
        <f>SUM(AN15:AN22)</f>
        <v>94147.73</v>
      </c>
      <c r="AO14" s="73">
        <f t="shared" ref="AO14:AQ14" si="88">AN14/$AA14</f>
        <v>8.0775678327861464E-2</v>
      </c>
      <c r="AP14" s="40">
        <f>SUM(AP15:AP22)</f>
        <v>102296.22</v>
      </c>
      <c r="AQ14" s="73">
        <f t="shared" si="88"/>
        <v>8.7766816691981303E-2</v>
      </c>
      <c r="AR14" s="40">
        <f>SUM(AR15:AR22)</f>
        <v>89609.189999999988</v>
      </c>
      <c r="AS14" s="73">
        <f t="shared" ref="AS14" si="89">AR14/$AA14</f>
        <v>7.6881759195470981E-2</v>
      </c>
      <c r="AT14" s="40">
        <f>SUM(AT15:AT22)</f>
        <v>92726.86</v>
      </c>
      <c r="AU14" s="73">
        <f t="shared" ref="AU14" si="90">AT14/$AA14</f>
        <v>7.9556618260606435E-2</v>
      </c>
      <c r="AV14" s="40">
        <f>SUM(AV15:AV22)</f>
        <v>87469.09</v>
      </c>
      <c r="AW14" s="73">
        <f t="shared" ref="AW14:BC14" si="91">AV14/$AA14</f>
        <v>7.5045623271753487E-2</v>
      </c>
      <c r="AX14" s="40">
        <f>SUM(AX15:AX22)</f>
        <v>0</v>
      </c>
      <c r="AY14" s="73">
        <f t="shared" si="91"/>
        <v>0</v>
      </c>
      <c r="AZ14" s="40">
        <f>SUM(AZ15:AZ22)</f>
        <v>0</v>
      </c>
      <c r="BA14" s="73">
        <f t="shared" si="91"/>
        <v>0</v>
      </c>
      <c r="BB14" s="40">
        <f>SUM(BB15:BB22)</f>
        <v>0</v>
      </c>
      <c r="BC14" s="73">
        <f t="shared" si="91"/>
        <v>0</v>
      </c>
      <c r="BD14" s="40">
        <f t="shared" ref="BD14" si="92">SUM(BD15:BD22)</f>
        <v>832812.03</v>
      </c>
      <c r="BE14" s="73">
        <f t="shared" ref="BE14" si="93">BD14/$AA14</f>
        <v>0.71452552964212002</v>
      </c>
    </row>
    <row r="15" spans="1:57" x14ac:dyDescent="0.25">
      <c r="A15" s="18" t="s">
        <v>5</v>
      </c>
      <c r="B15" s="45">
        <v>856800</v>
      </c>
      <c r="C15" s="38">
        <v>79611</v>
      </c>
      <c r="D15" s="38">
        <f>B15*1.115</f>
        <v>955332</v>
      </c>
      <c r="E15" s="35">
        <f>IFERROR((D15/B15)-1,0)</f>
        <v>0.11499999999999999</v>
      </c>
      <c r="F15" s="38">
        <v>77991.13</v>
      </c>
      <c r="G15" s="38">
        <v>75210.5</v>
      </c>
      <c r="H15" s="38">
        <v>76637.850000000006</v>
      </c>
      <c r="I15" s="38">
        <v>76717.64</v>
      </c>
      <c r="J15" s="38">
        <v>76967.61</v>
      </c>
      <c r="K15" s="38">
        <v>74843.47</v>
      </c>
      <c r="L15" s="38">
        <v>73906.649999999994</v>
      </c>
      <c r="M15" s="75">
        <f t="shared" si="15"/>
        <v>0.92834721332479175</v>
      </c>
      <c r="N15" s="38">
        <v>74826.509999999995</v>
      </c>
      <c r="O15" s="75">
        <f t="shared" si="40"/>
        <v>0.93990164675735755</v>
      </c>
      <c r="P15" s="38">
        <v>75017.36</v>
      </c>
      <c r="Q15" s="75">
        <f t="shared" si="16"/>
        <v>0.94229892854002584</v>
      </c>
      <c r="R15" s="38"/>
      <c r="S15" s="38"/>
      <c r="T15" s="38"/>
      <c r="U15" s="75">
        <f t="shared" si="41"/>
        <v>0</v>
      </c>
      <c r="V15" s="38">
        <f t="shared" ref="V15:V22" si="94">T15+S15+R15+P15+N15+L15+K15+J15+I15+H15+G15+F15</f>
        <v>682118.72</v>
      </c>
      <c r="W15" s="75">
        <f t="shared" si="8"/>
        <v>0.71401221774210433</v>
      </c>
      <c r="X15" s="38">
        <f t="shared" si="17"/>
        <v>75790.968888888892</v>
      </c>
      <c r="Y15" s="83">
        <f t="shared" ref="Y15:Y22" si="95">X15+(X15*$Y$2)</f>
        <v>80338.427022222226</v>
      </c>
      <c r="Z15" s="83">
        <v>83370.065777777781</v>
      </c>
      <c r="AA15" s="83">
        <f t="shared" si="62"/>
        <v>1000440.7893333334</v>
      </c>
      <c r="AB15" s="81">
        <f t="shared" si="70"/>
        <v>74583.506666666653</v>
      </c>
      <c r="AF15" s="96">
        <v>79247.13</v>
      </c>
      <c r="AG15" s="103">
        <f t="shared" si="21"/>
        <v>7.9212214100954581E-2</v>
      </c>
      <c r="AH15" s="96">
        <v>79958.320000000007</v>
      </c>
      <c r="AI15" s="103">
        <f t="shared" si="21"/>
        <v>7.9923090754108556E-2</v>
      </c>
      <c r="AJ15" s="83">
        <v>79097.78</v>
      </c>
      <c r="AK15" s="103">
        <f t="shared" ref="AK15:AM15" si="96">AJ15/$AA15</f>
        <v>7.9062929903836301E-2</v>
      </c>
      <c r="AL15" s="83">
        <v>80070.240000000005</v>
      </c>
      <c r="AM15" s="103">
        <f t="shared" si="96"/>
        <v>8.0034961442702307E-2</v>
      </c>
      <c r="AN15" s="83">
        <v>79835.990000000005</v>
      </c>
      <c r="AO15" s="103">
        <f t="shared" ref="AO15:AQ15" si="97">AN15/$AA15</f>
        <v>7.9800814652110044E-2</v>
      </c>
      <c r="AP15" s="83">
        <v>82486.02</v>
      </c>
      <c r="AQ15" s="103">
        <f t="shared" si="97"/>
        <v>8.2449677061814372E-2</v>
      </c>
      <c r="AR15" s="83">
        <v>77970.679999999993</v>
      </c>
      <c r="AS15" s="103">
        <f t="shared" ref="AS15" si="98">AR15/$AA15</f>
        <v>7.7936326498600217E-2</v>
      </c>
      <c r="AT15" s="83">
        <v>83124.05</v>
      </c>
      <c r="AU15" s="103">
        <f t="shared" ref="AU15" si="99">AT15/$AA15</f>
        <v>8.3087425948907598E-2</v>
      </c>
      <c r="AV15" s="83">
        <v>76154.899999999994</v>
      </c>
      <c r="AW15" s="103">
        <f t="shared" ref="AW15:BC15" si="100">AV15/$AA15</f>
        <v>7.6121346522413938E-2</v>
      </c>
      <c r="AX15" s="83"/>
      <c r="AY15" s="103">
        <f t="shared" si="100"/>
        <v>0</v>
      </c>
      <c r="AZ15" s="83"/>
      <c r="BA15" s="103">
        <f t="shared" si="100"/>
        <v>0</v>
      </c>
      <c r="BB15" s="83"/>
      <c r="BC15" s="103">
        <f t="shared" si="100"/>
        <v>0</v>
      </c>
      <c r="BD15" s="104">
        <f t="shared" ref="BD15:BD22" si="101">AF15+AH15+AJ15+AL15+AN15+AP15+AR15+AT15+AV15+AX15+AZ15+BB15</f>
        <v>717945.1100000001</v>
      </c>
      <c r="BE15" s="103">
        <f t="shared" ref="BE15" si="102">BD15/$AA15</f>
        <v>0.71762878688544807</v>
      </c>
    </row>
    <row r="16" spans="1:57" x14ac:dyDescent="0.25">
      <c r="A16" s="53" t="s">
        <v>6</v>
      </c>
      <c r="B16" s="45">
        <v>10876.761</v>
      </c>
      <c r="C16" s="38">
        <v>1155.82</v>
      </c>
      <c r="D16" s="38">
        <f>C16*12</f>
        <v>13869.84</v>
      </c>
      <c r="E16" s="35">
        <f>IFERROR((D16/B16)-1,0)</f>
        <v>0.27518109481306063</v>
      </c>
      <c r="F16" s="38">
        <v>1302.1600000000001</v>
      </c>
      <c r="G16" s="38">
        <v>1333.92</v>
      </c>
      <c r="H16" s="38">
        <v>1333.92</v>
      </c>
      <c r="I16" s="38">
        <v>1333.92</v>
      </c>
      <c r="J16" s="38">
        <v>1333.92</v>
      </c>
      <c r="K16" s="38">
        <v>1365.68</v>
      </c>
      <c r="L16" s="38">
        <v>1365.68</v>
      </c>
      <c r="M16" s="75">
        <f t="shared" si="15"/>
        <v>1.1815680642314548</v>
      </c>
      <c r="N16" s="38">
        <v>1333.92</v>
      </c>
      <c r="O16" s="75">
        <f t="shared" si="40"/>
        <v>1.1540897371563048</v>
      </c>
      <c r="P16" s="38">
        <v>1365.68</v>
      </c>
      <c r="Q16" s="75">
        <f t="shared" si="16"/>
        <v>1.1815680642314548</v>
      </c>
      <c r="R16" s="38"/>
      <c r="S16" s="38"/>
      <c r="T16" s="38"/>
      <c r="U16" s="75">
        <f t="shared" si="41"/>
        <v>0</v>
      </c>
      <c r="V16" s="38">
        <f t="shared" si="94"/>
        <v>12068.800000000001</v>
      </c>
      <c r="W16" s="75">
        <f t="shared" si="8"/>
        <v>0.87014702404642019</v>
      </c>
      <c r="X16" s="38">
        <f t="shared" si="17"/>
        <v>1340.9777777777779</v>
      </c>
      <c r="Y16" s="83">
        <f t="shared" si="95"/>
        <v>1421.4364444444445</v>
      </c>
      <c r="Z16" s="83">
        <v>1475.0755555555556</v>
      </c>
      <c r="AA16" s="83">
        <f t="shared" si="62"/>
        <v>17700.906666666669</v>
      </c>
      <c r="AB16" s="81">
        <f t="shared" si="70"/>
        <v>1355.0933333333335</v>
      </c>
      <c r="AF16" s="96">
        <v>1481.48</v>
      </c>
      <c r="AG16" s="103">
        <f t="shared" si="21"/>
        <v>8.3695147819170077E-2</v>
      </c>
      <c r="AH16" s="96">
        <v>1515.15</v>
      </c>
      <c r="AI16" s="103">
        <f t="shared" si="21"/>
        <v>8.5597310269605764E-2</v>
      </c>
      <c r="AJ16" s="83">
        <v>1515.15</v>
      </c>
      <c r="AK16" s="103">
        <f t="shared" ref="AK16:AM16" si="103">AJ16/$AA16</f>
        <v>8.5597310269605764E-2</v>
      </c>
      <c r="AL16" s="83">
        <v>1481.48</v>
      </c>
      <c r="AM16" s="103">
        <f t="shared" si="103"/>
        <v>8.3695147819170077E-2</v>
      </c>
      <c r="AN16" s="83">
        <v>1515.15</v>
      </c>
      <c r="AO16" s="103">
        <f t="shared" ref="AO16:AQ16" si="104">AN16/$AA16</f>
        <v>8.5597310269605764E-2</v>
      </c>
      <c r="AP16" s="83">
        <v>1515.15</v>
      </c>
      <c r="AQ16" s="103">
        <f t="shared" si="104"/>
        <v>8.5597310269605764E-2</v>
      </c>
      <c r="AR16" s="83">
        <v>1515.15</v>
      </c>
      <c r="AS16" s="103">
        <f t="shared" ref="AS16" si="105">AR16/$AA16</f>
        <v>8.5597310269605764E-2</v>
      </c>
      <c r="AT16" s="83">
        <v>1515.15</v>
      </c>
      <c r="AU16" s="103">
        <f t="shared" ref="AU16" si="106">AT16/$AA16</f>
        <v>8.5597310269605764E-2</v>
      </c>
      <c r="AV16" s="83">
        <v>1414.14</v>
      </c>
      <c r="AW16" s="103">
        <f t="shared" ref="AW16:BC16" si="107">AV16/$AA16</f>
        <v>7.9890822918298715E-2</v>
      </c>
      <c r="AX16" s="83"/>
      <c r="AY16" s="103">
        <f t="shared" si="107"/>
        <v>0</v>
      </c>
      <c r="AZ16" s="83"/>
      <c r="BA16" s="103">
        <f t="shared" si="107"/>
        <v>0</v>
      </c>
      <c r="BB16" s="83"/>
      <c r="BC16" s="103">
        <f t="shared" si="107"/>
        <v>0</v>
      </c>
      <c r="BD16" s="104">
        <f t="shared" si="101"/>
        <v>13467.999999999998</v>
      </c>
      <c r="BE16" s="103">
        <f t="shared" ref="BE16" si="108">BD16/$AA16</f>
        <v>0.76086498017427329</v>
      </c>
    </row>
    <row r="17" spans="1:57" x14ac:dyDescent="0.25">
      <c r="A17" s="53" t="s">
        <v>7</v>
      </c>
      <c r="B17" s="45">
        <v>9102.24</v>
      </c>
      <c r="C17" s="38">
        <v>1252.9032</v>
      </c>
      <c r="D17" s="38">
        <v>15034.838400000001</v>
      </c>
      <c r="E17" s="35">
        <f>IFERROR((D17/B17)-1,0)</f>
        <v>0.65177345356747352</v>
      </c>
      <c r="F17" s="38">
        <v>1204.48</v>
      </c>
      <c r="G17" s="38">
        <v>1204.48</v>
      </c>
      <c r="H17" s="38">
        <v>1204.48</v>
      </c>
      <c r="I17" s="38">
        <v>1251.92</v>
      </c>
      <c r="J17" s="38">
        <v>1299.3599999999999</v>
      </c>
      <c r="K17" s="38">
        <v>1251.04</v>
      </c>
      <c r="L17" s="38">
        <v>1251.04</v>
      </c>
      <c r="M17" s="75">
        <f t="shared" si="15"/>
        <v>0.99851289389315945</v>
      </c>
      <c r="N17" s="38">
        <v>1251.04</v>
      </c>
      <c r="O17" s="75">
        <f t="shared" si="40"/>
        <v>0.99851289389315945</v>
      </c>
      <c r="P17" s="38">
        <v>1251.04</v>
      </c>
      <c r="Q17" s="75">
        <f t="shared" si="16"/>
        <v>0.99851289389315945</v>
      </c>
      <c r="R17" s="38"/>
      <c r="S17" s="38"/>
      <c r="T17" s="38"/>
      <c r="U17" s="75">
        <f t="shared" si="41"/>
        <v>0</v>
      </c>
      <c r="V17" s="38">
        <f t="shared" si="94"/>
        <v>11168.88</v>
      </c>
      <c r="W17" s="75">
        <f t="shared" si="8"/>
        <v>0.74286664763885979</v>
      </c>
      <c r="X17" s="38">
        <f t="shared" si="17"/>
        <v>1240.9866666666667</v>
      </c>
      <c r="Y17" s="83">
        <f t="shared" si="95"/>
        <v>1315.4458666666667</v>
      </c>
      <c r="Z17" s="83">
        <v>1365.0853333333334</v>
      </c>
      <c r="AA17" s="83">
        <f t="shared" si="62"/>
        <v>16381.024000000001</v>
      </c>
      <c r="AB17" s="81">
        <f t="shared" si="70"/>
        <v>1251.04</v>
      </c>
      <c r="AF17" s="96">
        <v>1274.92</v>
      </c>
      <c r="AG17" s="103">
        <f t="shared" si="21"/>
        <v>7.7829078328680801E-2</v>
      </c>
      <c r="AH17" s="96">
        <v>1223.7</v>
      </c>
      <c r="AI17" s="103">
        <f t="shared" si="21"/>
        <v>7.4702289673710259E-2</v>
      </c>
      <c r="AJ17" s="83">
        <v>1223.7</v>
      </c>
      <c r="AK17" s="103">
        <f t="shared" ref="AK17:AM17" si="109">AJ17/$AA17</f>
        <v>7.4702289673710259E-2</v>
      </c>
      <c r="AL17" s="83">
        <v>1173.4100000000001</v>
      </c>
      <c r="AM17" s="103">
        <f t="shared" si="109"/>
        <v>7.1632274026336817E-2</v>
      </c>
      <c r="AN17" s="83">
        <v>1223.7</v>
      </c>
      <c r="AO17" s="103">
        <f t="shared" ref="AO17:AQ17" si="110">AN17/$AA17</f>
        <v>7.4702289673710259E-2</v>
      </c>
      <c r="AP17" s="83">
        <v>1223.7</v>
      </c>
      <c r="AQ17" s="103">
        <f t="shared" si="110"/>
        <v>7.4702289673710259E-2</v>
      </c>
      <c r="AR17" s="83">
        <v>1223.7</v>
      </c>
      <c r="AS17" s="103">
        <f t="shared" ref="AS17" si="111">AR17/$AA17</f>
        <v>7.4702289673710259E-2</v>
      </c>
      <c r="AT17" s="83">
        <v>1223.7</v>
      </c>
      <c r="AU17" s="103">
        <f t="shared" ref="AU17" si="112">AT17/$AA17</f>
        <v>7.4702289673710259E-2</v>
      </c>
      <c r="AV17" s="83">
        <v>1223.7</v>
      </c>
      <c r="AW17" s="103">
        <f t="shared" ref="AW17:BC17" si="113">AV17/$AA17</f>
        <v>7.4702289673710259E-2</v>
      </c>
      <c r="AX17" s="83"/>
      <c r="AY17" s="103">
        <f t="shared" si="113"/>
        <v>0</v>
      </c>
      <c r="AZ17" s="83"/>
      <c r="BA17" s="103">
        <f t="shared" si="113"/>
        <v>0</v>
      </c>
      <c r="BB17" s="83"/>
      <c r="BC17" s="103">
        <f t="shared" si="113"/>
        <v>0</v>
      </c>
      <c r="BD17" s="104">
        <f t="shared" si="101"/>
        <v>11014.230000000001</v>
      </c>
      <c r="BE17" s="103">
        <f t="shared" ref="BE17" si="114">BD17/$AA17</f>
        <v>0.67237738007098946</v>
      </c>
    </row>
    <row r="18" spans="1:57" x14ac:dyDescent="0.25">
      <c r="A18" s="18" t="s">
        <v>8</v>
      </c>
      <c r="B18" s="45">
        <v>5000</v>
      </c>
      <c r="C18" s="38">
        <v>0</v>
      </c>
      <c r="D18" s="38">
        <v>0</v>
      </c>
      <c r="E18" s="35"/>
      <c r="F18" s="38">
        <v>0</v>
      </c>
      <c r="G18" s="38"/>
      <c r="H18" s="38"/>
      <c r="I18" s="38">
        <v>2000</v>
      </c>
      <c r="J18" s="38"/>
      <c r="K18" s="38"/>
      <c r="L18" s="38"/>
      <c r="M18" s="75" t="e">
        <f t="shared" si="15"/>
        <v>#DIV/0!</v>
      </c>
      <c r="N18" s="38"/>
      <c r="O18" s="75" t="e">
        <f t="shared" si="40"/>
        <v>#DIV/0!</v>
      </c>
      <c r="P18" s="38"/>
      <c r="Q18" s="75" t="e">
        <f t="shared" si="16"/>
        <v>#DIV/0!</v>
      </c>
      <c r="R18" s="38"/>
      <c r="S18" s="38"/>
      <c r="T18" s="38"/>
      <c r="U18" s="75">
        <f t="shared" si="41"/>
        <v>0</v>
      </c>
      <c r="V18" s="38">
        <f t="shared" si="94"/>
        <v>2000</v>
      </c>
      <c r="W18" s="75" t="e">
        <f t="shared" si="8"/>
        <v>#DIV/0!</v>
      </c>
      <c r="X18" s="38">
        <f t="shared" si="17"/>
        <v>222.22222222222223</v>
      </c>
      <c r="Y18" s="83">
        <f t="shared" si="95"/>
        <v>235.55555555555557</v>
      </c>
      <c r="Z18" s="83">
        <v>244.44444444444446</v>
      </c>
      <c r="AA18" s="83">
        <f t="shared" si="62"/>
        <v>2933.3333333333335</v>
      </c>
      <c r="AB18" s="81">
        <f t="shared" si="70"/>
        <v>0</v>
      </c>
      <c r="AF18" s="96"/>
      <c r="AG18" s="103">
        <f t="shared" si="21"/>
        <v>0</v>
      </c>
      <c r="AH18" s="96"/>
      <c r="AI18" s="103">
        <f t="shared" si="21"/>
        <v>0</v>
      </c>
      <c r="AJ18" s="83"/>
      <c r="AK18" s="103">
        <f t="shared" ref="AK18:AM18" si="115">AJ18/$AA18</f>
        <v>0</v>
      </c>
      <c r="AL18" s="83"/>
      <c r="AM18" s="103">
        <f t="shared" si="115"/>
        <v>0</v>
      </c>
      <c r="AN18" s="83">
        <v>2100</v>
      </c>
      <c r="AO18" s="103">
        <f t="shared" ref="AO18:AQ18" si="116">AN18/$AA18</f>
        <v>0.71590909090909083</v>
      </c>
      <c r="AP18" s="83"/>
      <c r="AQ18" s="103">
        <f t="shared" si="116"/>
        <v>0</v>
      </c>
      <c r="AR18" s="83"/>
      <c r="AS18" s="103">
        <f t="shared" ref="AS18" si="117">AR18/$AA18</f>
        <v>0</v>
      </c>
      <c r="AT18" s="83"/>
      <c r="AU18" s="103">
        <f t="shared" ref="AU18" si="118">AT18/$AA18</f>
        <v>0</v>
      </c>
      <c r="AV18" s="83"/>
      <c r="AW18" s="103">
        <f t="shared" ref="AW18:BC18" si="119">AV18/$AA18</f>
        <v>0</v>
      </c>
      <c r="AX18" s="83"/>
      <c r="AY18" s="103">
        <f t="shared" si="119"/>
        <v>0</v>
      </c>
      <c r="AZ18" s="83"/>
      <c r="BA18" s="103">
        <f t="shared" si="119"/>
        <v>0</v>
      </c>
      <c r="BB18" s="83"/>
      <c r="BC18" s="103">
        <f t="shared" si="119"/>
        <v>0</v>
      </c>
      <c r="BD18" s="104">
        <f t="shared" si="101"/>
        <v>2100</v>
      </c>
      <c r="BE18" s="103">
        <f t="shared" ref="BE18" si="120">BD18/$AA18</f>
        <v>0.71590909090909083</v>
      </c>
    </row>
    <row r="19" spans="1:57" x14ac:dyDescent="0.25">
      <c r="A19" s="97" t="s">
        <v>150</v>
      </c>
      <c r="B19" s="94">
        <v>79400</v>
      </c>
      <c r="C19" s="46">
        <v>4916.666666666667</v>
      </c>
      <c r="D19" s="46">
        <v>59000</v>
      </c>
      <c r="E19" s="95">
        <f>IFERROR((D19/B19)-1,0)</f>
        <v>-0.25692695214105798</v>
      </c>
      <c r="F19" s="46">
        <v>0</v>
      </c>
      <c r="G19" s="46"/>
      <c r="H19" s="46"/>
      <c r="I19" s="46">
        <v>38603.57</v>
      </c>
      <c r="J19" s="46"/>
      <c r="K19" s="46"/>
      <c r="L19" s="46"/>
      <c r="M19" s="76">
        <f t="shared" si="15"/>
        <v>0</v>
      </c>
      <c r="N19" s="46">
        <v>26978.41</v>
      </c>
      <c r="O19" s="76">
        <f t="shared" si="40"/>
        <v>5.4871342372881351</v>
      </c>
      <c r="P19" s="46">
        <v>7626.86</v>
      </c>
      <c r="Q19" s="76">
        <f t="shared" si="16"/>
        <v>1.5512257627118642</v>
      </c>
      <c r="R19" s="46"/>
      <c r="S19" s="46"/>
      <c r="T19" s="46"/>
      <c r="U19" s="76">
        <f t="shared" si="41"/>
        <v>0</v>
      </c>
      <c r="V19" s="46">
        <f t="shared" si="94"/>
        <v>73208.84</v>
      </c>
      <c r="W19" s="76">
        <f t="shared" si="8"/>
        <v>1.2408277966101695</v>
      </c>
      <c r="X19" s="46">
        <f t="shared" si="17"/>
        <v>8134.315555555555</v>
      </c>
      <c r="Y19" s="96">
        <f t="shared" si="95"/>
        <v>8622.3744888888887</v>
      </c>
      <c r="Z19" s="96">
        <v>8000</v>
      </c>
      <c r="AA19" s="96">
        <f t="shared" si="62"/>
        <v>96000</v>
      </c>
      <c r="AB19" s="81">
        <f t="shared" si="70"/>
        <v>11535.089999999998</v>
      </c>
      <c r="AF19" s="96">
        <v>7776.85</v>
      </c>
      <c r="AG19" s="102">
        <f t="shared" si="21"/>
        <v>8.1008854166666672E-2</v>
      </c>
      <c r="AH19" s="96">
        <v>4448.93</v>
      </c>
      <c r="AI19" s="102">
        <f t="shared" si="21"/>
        <v>4.6343020833333338E-2</v>
      </c>
      <c r="AJ19" s="96">
        <v>7496.35</v>
      </c>
      <c r="AK19" s="102">
        <f t="shared" ref="AK19:AM19" si="121">AJ19/$AA19</f>
        <v>7.8086979166666667E-2</v>
      </c>
      <c r="AL19" s="96">
        <v>7604.35</v>
      </c>
      <c r="AM19" s="102">
        <f t="shared" si="121"/>
        <v>7.9211979166666668E-2</v>
      </c>
      <c r="AN19" s="96">
        <v>7792.89</v>
      </c>
      <c r="AO19" s="102">
        <f t="shared" ref="AO19:AQ19" si="122">AN19/$AA19</f>
        <v>8.1175937500000003E-2</v>
      </c>
      <c r="AP19" s="96">
        <v>7617.35</v>
      </c>
      <c r="AQ19" s="102">
        <f t="shared" si="122"/>
        <v>7.9347395833333334E-2</v>
      </c>
      <c r="AR19" s="96">
        <v>8168.66</v>
      </c>
      <c r="AS19" s="102">
        <f t="shared" ref="AS19" si="123">AR19/$AA19</f>
        <v>8.5090208333333334E-2</v>
      </c>
      <c r="AT19" s="96">
        <v>4335.96</v>
      </c>
      <c r="AU19" s="102">
        <f t="shared" ref="AU19" si="124">AT19/$AA19</f>
        <v>4.5166249999999998E-2</v>
      </c>
      <c r="AV19" s="96">
        <v>8004.35</v>
      </c>
      <c r="AW19" s="102">
        <f t="shared" ref="AW19:BC19" si="125">AV19/$AA19</f>
        <v>8.3378645833333334E-2</v>
      </c>
      <c r="AX19" s="96"/>
      <c r="AY19" s="102">
        <f t="shared" si="125"/>
        <v>0</v>
      </c>
      <c r="AZ19" s="96"/>
      <c r="BA19" s="102">
        <f t="shared" si="125"/>
        <v>0</v>
      </c>
      <c r="BB19" s="96"/>
      <c r="BC19" s="102">
        <f t="shared" si="125"/>
        <v>0</v>
      </c>
      <c r="BD19" s="104">
        <f t="shared" si="101"/>
        <v>63245.69</v>
      </c>
      <c r="BE19" s="102">
        <f t="shared" ref="BE19" si="126">BD19/$AA19</f>
        <v>0.6588092708333334</v>
      </c>
    </row>
    <row r="20" spans="1:57" x14ac:dyDescent="0.25">
      <c r="A20" s="18" t="s">
        <v>151</v>
      </c>
      <c r="B20" s="45">
        <v>0</v>
      </c>
      <c r="C20" s="38">
        <v>0</v>
      </c>
      <c r="D20" s="38">
        <v>0</v>
      </c>
      <c r="E20" s="35"/>
      <c r="F20" s="38">
        <v>0</v>
      </c>
      <c r="G20" s="38"/>
      <c r="H20" s="38"/>
      <c r="I20" s="38"/>
      <c r="J20" s="38"/>
      <c r="K20" s="38"/>
      <c r="L20" s="38"/>
      <c r="M20" s="75" t="e">
        <f t="shared" si="15"/>
        <v>#DIV/0!</v>
      </c>
      <c r="N20" s="38"/>
      <c r="O20" s="75" t="e">
        <f t="shared" si="40"/>
        <v>#DIV/0!</v>
      </c>
      <c r="P20" s="38">
        <v>9200</v>
      </c>
      <c r="Q20" s="75" t="e">
        <f t="shared" si="16"/>
        <v>#DIV/0!</v>
      </c>
      <c r="R20" s="38"/>
      <c r="S20" s="38"/>
      <c r="T20" s="38"/>
      <c r="U20" s="75" t="e">
        <f t="shared" si="41"/>
        <v>#DIV/0!</v>
      </c>
      <c r="V20" s="38">
        <f t="shared" si="94"/>
        <v>9200</v>
      </c>
      <c r="W20" s="75" t="e">
        <f t="shared" si="8"/>
        <v>#DIV/0!</v>
      </c>
      <c r="X20" s="38">
        <f t="shared" si="17"/>
        <v>1022.2222222222222</v>
      </c>
      <c r="Y20" s="83">
        <f t="shared" si="95"/>
        <v>1083.5555555555554</v>
      </c>
      <c r="Z20" s="83">
        <v>1124.4444444444443</v>
      </c>
      <c r="AA20" s="83">
        <f t="shared" si="62"/>
        <v>13493.333333333332</v>
      </c>
      <c r="AB20" s="81">
        <f t="shared" si="70"/>
        <v>3066.6666666666665</v>
      </c>
      <c r="AF20" s="96"/>
      <c r="AG20" s="103">
        <f t="shared" si="21"/>
        <v>0</v>
      </c>
      <c r="AH20" s="96"/>
      <c r="AI20" s="103">
        <f t="shared" si="21"/>
        <v>0</v>
      </c>
      <c r="AJ20" s="83">
        <v>2320</v>
      </c>
      <c r="AK20" s="103">
        <f t="shared" ref="AK20:AM20" si="127">AJ20/$AA20</f>
        <v>0.17193675889328064</v>
      </c>
      <c r="AL20" s="83">
        <v>940</v>
      </c>
      <c r="AM20" s="103">
        <f t="shared" si="127"/>
        <v>6.966403162055336E-2</v>
      </c>
      <c r="AN20" s="83"/>
      <c r="AO20" s="103">
        <f t="shared" ref="AO20:AQ20" si="128">AN20/$AA20</f>
        <v>0</v>
      </c>
      <c r="AP20" s="83">
        <v>8950</v>
      </c>
      <c r="AQ20" s="103">
        <f t="shared" si="128"/>
        <v>0.66329051383399218</v>
      </c>
      <c r="AR20" s="83"/>
      <c r="AS20" s="103">
        <f t="shared" ref="AS20" si="129">AR20/$AA20</f>
        <v>0</v>
      </c>
      <c r="AT20" s="83">
        <v>2360</v>
      </c>
      <c r="AU20" s="103">
        <f t="shared" ref="AU20" si="130">AT20/$AA20</f>
        <v>0.17490118577075101</v>
      </c>
      <c r="AV20" s="83"/>
      <c r="AW20" s="103">
        <f t="shared" ref="AW20:BC20" si="131">AV20/$AA20</f>
        <v>0</v>
      </c>
      <c r="AX20" s="83"/>
      <c r="AY20" s="103">
        <f t="shared" si="131"/>
        <v>0</v>
      </c>
      <c r="AZ20" s="83"/>
      <c r="BA20" s="103">
        <f t="shared" si="131"/>
        <v>0</v>
      </c>
      <c r="BB20" s="83"/>
      <c r="BC20" s="103">
        <f t="shared" si="131"/>
        <v>0</v>
      </c>
      <c r="BD20" s="104">
        <f t="shared" si="101"/>
        <v>14570</v>
      </c>
      <c r="BE20" s="103">
        <f t="shared" ref="BE20" si="132">BD20/$AA20</f>
        <v>1.0797924901185771</v>
      </c>
    </row>
    <row r="21" spans="1:57" x14ac:dyDescent="0.25">
      <c r="A21" s="97" t="s">
        <v>22</v>
      </c>
      <c r="B21" s="94">
        <v>6186.75</v>
      </c>
      <c r="C21" s="46">
        <v>515.5625</v>
      </c>
      <c r="D21" s="46">
        <f>B21</f>
        <v>6186.75</v>
      </c>
      <c r="E21" s="95">
        <f t="shared" ref="E21:E33" si="133">IFERROR((D21/B21)-1,0)</f>
        <v>0</v>
      </c>
      <c r="F21" s="46">
        <v>0</v>
      </c>
      <c r="G21" s="46"/>
      <c r="H21" s="46">
        <v>60</v>
      </c>
      <c r="I21" s="46"/>
      <c r="J21" s="46"/>
      <c r="K21" s="46"/>
      <c r="L21" s="46"/>
      <c r="M21" s="76">
        <f t="shared" si="15"/>
        <v>0</v>
      </c>
      <c r="N21" s="46"/>
      <c r="O21" s="76">
        <f t="shared" si="40"/>
        <v>0</v>
      </c>
      <c r="P21" s="46"/>
      <c r="Q21" s="76">
        <f t="shared" si="16"/>
        <v>0</v>
      </c>
      <c r="R21" s="46"/>
      <c r="S21" s="46"/>
      <c r="T21" s="46"/>
      <c r="U21" s="76" t="e">
        <f t="shared" si="41"/>
        <v>#DIV/0!</v>
      </c>
      <c r="V21" s="46">
        <f t="shared" si="94"/>
        <v>60</v>
      </c>
      <c r="W21" s="76">
        <f t="shared" si="8"/>
        <v>9.6981452297248156E-3</v>
      </c>
      <c r="X21" s="46">
        <f t="shared" si="17"/>
        <v>6.666666666666667</v>
      </c>
      <c r="Y21" s="96">
        <f t="shared" si="95"/>
        <v>7.0666666666666673</v>
      </c>
      <c r="Z21" s="96">
        <v>100</v>
      </c>
      <c r="AA21" s="96">
        <f t="shared" si="62"/>
        <v>1200</v>
      </c>
      <c r="AB21" s="81">
        <f t="shared" si="70"/>
        <v>0</v>
      </c>
      <c r="AF21" s="96"/>
      <c r="AG21" s="102">
        <f t="shared" si="21"/>
        <v>0</v>
      </c>
      <c r="AH21" s="96"/>
      <c r="AI21" s="102">
        <f t="shared" si="21"/>
        <v>0</v>
      </c>
      <c r="AJ21" s="96"/>
      <c r="AK21" s="102">
        <f t="shared" ref="AK21:AM21" si="134">AJ21/$AA21</f>
        <v>0</v>
      </c>
      <c r="AL21" s="96"/>
      <c r="AM21" s="102">
        <f t="shared" si="134"/>
        <v>0</v>
      </c>
      <c r="AN21" s="96"/>
      <c r="AO21" s="102">
        <f t="shared" ref="AO21:AQ21" si="135">AN21/$AA21</f>
        <v>0</v>
      </c>
      <c r="AP21" s="96"/>
      <c r="AQ21" s="102">
        <f t="shared" si="135"/>
        <v>0</v>
      </c>
      <c r="AR21" s="96">
        <v>605</v>
      </c>
      <c r="AS21" s="102">
        <f t="shared" ref="AS21" si="136">AR21/$AA21</f>
        <v>0.50416666666666665</v>
      </c>
      <c r="AT21" s="96"/>
      <c r="AU21" s="102">
        <f t="shared" ref="AU21" si="137">AT21/$AA21</f>
        <v>0</v>
      </c>
      <c r="AV21" s="96"/>
      <c r="AW21" s="102">
        <f t="shared" ref="AW21:BC21" si="138">AV21/$AA21</f>
        <v>0</v>
      </c>
      <c r="AX21" s="96"/>
      <c r="AY21" s="102">
        <f t="shared" si="138"/>
        <v>0</v>
      </c>
      <c r="AZ21" s="96"/>
      <c r="BA21" s="102">
        <f t="shared" si="138"/>
        <v>0</v>
      </c>
      <c r="BB21" s="96"/>
      <c r="BC21" s="102">
        <f t="shared" si="138"/>
        <v>0</v>
      </c>
      <c r="BD21" s="104">
        <f t="shared" si="101"/>
        <v>605</v>
      </c>
      <c r="BE21" s="102">
        <f t="shared" ref="BE21" si="139">BD21/$AA21</f>
        <v>0.50416666666666665</v>
      </c>
    </row>
    <row r="22" spans="1:57" x14ac:dyDescent="0.25">
      <c r="A22" s="18" t="s">
        <v>140</v>
      </c>
      <c r="B22" s="45">
        <v>10815</v>
      </c>
      <c r="C22" s="38">
        <v>1083.3333333333333</v>
      </c>
      <c r="D22" s="38">
        <v>13000</v>
      </c>
      <c r="E22" s="35">
        <f t="shared" si="133"/>
        <v>0.20203421174294967</v>
      </c>
      <c r="F22" s="38">
        <v>980</v>
      </c>
      <c r="G22" s="38">
        <v>1209</v>
      </c>
      <c r="H22" s="38">
        <v>1209</v>
      </c>
      <c r="I22" s="38">
        <v>1521</v>
      </c>
      <c r="J22" s="38">
        <v>2496</v>
      </c>
      <c r="K22" s="38">
        <v>1521</v>
      </c>
      <c r="L22" s="38">
        <v>741</v>
      </c>
      <c r="M22" s="75">
        <f t="shared" si="15"/>
        <v>0.68400000000000005</v>
      </c>
      <c r="N22" s="38">
        <v>1326</v>
      </c>
      <c r="O22" s="75">
        <f t="shared" si="40"/>
        <v>1.224</v>
      </c>
      <c r="P22" s="38">
        <v>858</v>
      </c>
      <c r="Q22" s="75">
        <f t="shared" si="16"/>
        <v>0.79200000000000004</v>
      </c>
      <c r="R22" s="38"/>
      <c r="S22" s="38"/>
      <c r="T22" s="38"/>
      <c r="U22" s="75">
        <f t="shared" si="41"/>
        <v>0</v>
      </c>
      <c r="V22" s="38">
        <f t="shared" si="94"/>
        <v>11861</v>
      </c>
      <c r="W22" s="75">
        <f t="shared" si="8"/>
        <v>0.91238461538461535</v>
      </c>
      <c r="X22" s="38">
        <f t="shared" si="17"/>
        <v>1317.8888888888889</v>
      </c>
      <c r="Y22" s="83">
        <f t="shared" si="95"/>
        <v>1396.9622222222222</v>
      </c>
      <c r="Z22" s="83">
        <v>1449.6777777777779</v>
      </c>
      <c r="AA22" s="83">
        <f t="shared" si="62"/>
        <v>17396.133333333335</v>
      </c>
      <c r="AB22" s="81">
        <f t="shared" si="70"/>
        <v>975</v>
      </c>
      <c r="AF22" s="96">
        <v>1170</v>
      </c>
      <c r="AG22" s="103">
        <f t="shared" si="21"/>
        <v>6.7256325160380465E-2</v>
      </c>
      <c r="AH22" s="96">
        <v>1386</v>
      </c>
      <c r="AI22" s="103">
        <f t="shared" si="21"/>
        <v>7.9672877497681469E-2</v>
      </c>
      <c r="AJ22" s="83">
        <v>1932</v>
      </c>
      <c r="AK22" s="103">
        <f t="shared" ref="AK22:AM22" si="140">AJ22/$AA22</f>
        <v>0.11105916257252568</v>
      </c>
      <c r="AL22" s="83">
        <v>2226</v>
      </c>
      <c r="AM22" s="103">
        <f t="shared" si="140"/>
        <v>0.12795946992051874</v>
      </c>
      <c r="AN22" s="83">
        <v>1680</v>
      </c>
      <c r="AO22" s="103">
        <f t="shared" ref="AO22:AQ22" si="141">AN22/$AA22</f>
        <v>9.6573184845674509E-2</v>
      </c>
      <c r="AP22" s="83">
        <v>504</v>
      </c>
      <c r="AQ22" s="103">
        <f t="shared" si="141"/>
        <v>2.8971955453702354E-2</v>
      </c>
      <c r="AR22" s="83">
        <v>126</v>
      </c>
      <c r="AS22" s="103">
        <f t="shared" ref="AS22" si="142">AR22/$AA22</f>
        <v>7.2429888634255885E-3</v>
      </c>
      <c r="AT22" s="83">
        <v>168</v>
      </c>
      <c r="AU22" s="103">
        <f t="shared" ref="AU22" si="143">AT22/$AA22</f>
        <v>9.6573184845674502E-3</v>
      </c>
      <c r="AV22" s="83">
        <v>672</v>
      </c>
      <c r="AW22" s="103">
        <f t="shared" ref="AW22:BC22" si="144">AV22/$AA22</f>
        <v>3.8629273938269801E-2</v>
      </c>
      <c r="AX22" s="83"/>
      <c r="AY22" s="103">
        <f t="shared" si="144"/>
        <v>0</v>
      </c>
      <c r="AZ22" s="83"/>
      <c r="BA22" s="103">
        <f t="shared" si="144"/>
        <v>0</v>
      </c>
      <c r="BB22" s="83"/>
      <c r="BC22" s="103">
        <f t="shared" si="144"/>
        <v>0</v>
      </c>
      <c r="BD22" s="104">
        <f t="shared" si="101"/>
        <v>9864</v>
      </c>
      <c r="BE22" s="103">
        <f t="shared" ref="BE22" si="145">BD22/$AA22</f>
        <v>0.56702255673674606</v>
      </c>
    </row>
    <row r="23" spans="1:57" x14ac:dyDescent="0.25">
      <c r="A23" s="50" t="s">
        <v>13</v>
      </c>
      <c r="B23" s="51">
        <v>547050</v>
      </c>
      <c r="C23" s="40">
        <v>54166.666666666664</v>
      </c>
      <c r="D23" s="40">
        <f>SUM(D24:D27)</f>
        <v>650000</v>
      </c>
      <c r="E23" s="35">
        <f t="shared" si="133"/>
        <v>0.18819120738506534</v>
      </c>
      <c r="F23" s="40">
        <f>SUM(F24:F27)</f>
        <v>28201.41</v>
      </c>
      <c r="G23" s="40">
        <f t="shared" ref="G23:V23" si="146">SUM(G24:G27)</f>
        <v>55904.37</v>
      </c>
      <c r="H23" s="40">
        <f t="shared" si="146"/>
        <v>66876.38</v>
      </c>
      <c r="I23" s="40">
        <f t="shared" si="146"/>
        <v>64688.84</v>
      </c>
      <c r="J23" s="40">
        <f t="shared" si="146"/>
        <v>76900.789999999994</v>
      </c>
      <c r="K23" s="40">
        <f t="shared" si="146"/>
        <v>103277.58</v>
      </c>
      <c r="L23" s="40">
        <f t="shared" si="146"/>
        <v>59195.99</v>
      </c>
      <c r="M23" s="73">
        <f t="shared" si="15"/>
        <v>1.0928490461538463</v>
      </c>
      <c r="N23" s="40">
        <f t="shared" si="146"/>
        <v>52008.9</v>
      </c>
      <c r="O23" s="73">
        <f t="shared" si="40"/>
        <v>0.96016430769230776</v>
      </c>
      <c r="P23" s="40">
        <f t="shared" si="146"/>
        <v>50092.56</v>
      </c>
      <c r="Q23" s="73">
        <f t="shared" si="16"/>
        <v>0.92478572307692308</v>
      </c>
      <c r="R23" s="40">
        <f t="shared" si="146"/>
        <v>0</v>
      </c>
      <c r="S23" s="40">
        <f t="shared" si="146"/>
        <v>0</v>
      </c>
      <c r="T23" s="40">
        <f t="shared" si="146"/>
        <v>0</v>
      </c>
      <c r="U23" s="73">
        <f t="shared" si="41"/>
        <v>0</v>
      </c>
      <c r="V23" s="40">
        <f t="shared" si="146"/>
        <v>557146.81999999995</v>
      </c>
      <c r="W23" s="73">
        <f t="shared" si="8"/>
        <v>0.85714895384615375</v>
      </c>
      <c r="X23" s="40">
        <f t="shared" si="17"/>
        <v>61905.202222222215</v>
      </c>
      <c r="Y23" s="40">
        <f t="shared" ref="Y23" si="147">SUM(Y24:Y27)</f>
        <v>65619.514355555555</v>
      </c>
      <c r="Z23" s="40">
        <v>68095.722444444444</v>
      </c>
      <c r="AA23" s="40">
        <f t="shared" ref="AA23" si="148">SUM(AA24:AA27)</f>
        <v>817148.66933333338</v>
      </c>
      <c r="AB23" s="81">
        <f t="shared" si="70"/>
        <v>53765.816666666673</v>
      </c>
      <c r="AF23" s="40">
        <f t="shared" ref="AF23" si="149">SUM(AF24:AF27)</f>
        <v>62458.02</v>
      </c>
      <c r="AG23" s="73">
        <f t="shared" si="21"/>
        <v>7.6434096198132531E-2</v>
      </c>
      <c r="AH23" s="40">
        <f t="shared" ref="AH23:AJ23" si="150">SUM(AH24:AH27)</f>
        <v>22561.42</v>
      </c>
      <c r="AI23" s="73">
        <f t="shared" si="21"/>
        <v>2.7609932986131666E-2</v>
      </c>
      <c r="AJ23" s="40">
        <f t="shared" si="150"/>
        <v>54839.03</v>
      </c>
      <c r="AK23" s="73">
        <f t="shared" ref="AK23:AM23" si="151">AJ23/$AA23</f>
        <v>6.7110223705975247E-2</v>
      </c>
      <c r="AL23" s="40">
        <f t="shared" ref="AL23" si="152">SUM(AL24:AL27)</f>
        <v>42969.64</v>
      </c>
      <c r="AM23" s="73">
        <f t="shared" si="151"/>
        <v>5.2584849749625809E-2</v>
      </c>
      <c r="AN23" s="40">
        <f t="shared" ref="AN23" si="153">SUM(AN24:AN27)</f>
        <v>35577.21</v>
      </c>
      <c r="AO23" s="73">
        <f t="shared" ref="AO23:AQ23" si="154">AN23/$AA23</f>
        <v>4.3538234026649629E-2</v>
      </c>
      <c r="AP23" s="40">
        <f t="shared" ref="AP23" si="155">SUM(AP24:AP27)</f>
        <v>57308.09</v>
      </c>
      <c r="AQ23" s="73">
        <f t="shared" si="154"/>
        <v>7.0131779137270714E-2</v>
      </c>
      <c r="AR23" s="40">
        <f t="shared" ref="AR23" si="156">SUM(AR24:AR27)</f>
        <v>59785.58</v>
      </c>
      <c r="AS23" s="73">
        <f t="shared" ref="AS23" si="157">AR23/$AA23</f>
        <v>7.3163650928754209E-2</v>
      </c>
      <c r="AT23" s="40">
        <f t="shared" ref="AT23" si="158">SUM(AT24:AT27)</f>
        <v>27110.85</v>
      </c>
      <c r="AU23" s="73">
        <f t="shared" ref="AU23" si="159">AT23/$AA23</f>
        <v>3.3177377651631312E-2</v>
      </c>
      <c r="AV23" s="40">
        <f t="shared" ref="AV23" si="160">SUM(AV24:AV27)</f>
        <v>37580.85</v>
      </c>
      <c r="AW23" s="73">
        <f t="shared" ref="AW23:BC23" si="161">AV23/$AA23</f>
        <v>4.5990223579095033E-2</v>
      </c>
      <c r="AX23" s="40">
        <f t="shared" ref="AX23" si="162">SUM(AX24:AX27)</f>
        <v>0</v>
      </c>
      <c r="AY23" s="73">
        <f t="shared" si="161"/>
        <v>0</v>
      </c>
      <c r="AZ23" s="40">
        <f t="shared" ref="AZ23" si="163">SUM(AZ24:AZ27)</f>
        <v>0</v>
      </c>
      <c r="BA23" s="73">
        <f t="shared" si="161"/>
        <v>0</v>
      </c>
      <c r="BB23" s="40">
        <f t="shared" ref="BB23" si="164">SUM(BB24:BB27)</f>
        <v>0</v>
      </c>
      <c r="BC23" s="73">
        <f t="shared" si="161"/>
        <v>0</v>
      </c>
      <c r="BD23" s="40">
        <f t="shared" ref="BD23" si="165">SUM(BD24:BD27)</f>
        <v>400190.69</v>
      </c>
      <c r="BE23" s="73">
        <f t="shared" ref="BE23" si="166">BD23/$AA23</f>
        <v>0.48974036796326614</v>
      </c>
    </row>
    <row r="24" spans="1:57" x14ac:dyDescent="0.25">
      <c r="A24" s="53" t="s">
        <v>14</v>
      </c>
      <c r="B24" s="45">
        <v>330750</v>
      </c>
      <c r="C24" s="38">
        <v>35416.666666666664</v>
      </c>
      <c r="D24" s="38">
        <v>425000</v>
      </c>
      <c r="E24" s="35">
        <f t="shared" si="133"/>
        <v>0.28495842781557057</v>
      </c>
      <c r="F24" s="38">
        <f>1500.17</f>
        <v>1500.17</v>
      </c>
      <c r="G24" s="38">
        <f>37215+12260</f>
        <v>49475</v>
      </c>
      <c r="H24" s="38">
        <f>44264.82+15340</f>
        <v>59604.82</v>
      </c>
      <c r="I24" s="38">
        <f>42225+15470</f>
        <v>57695</v>
      </c>
      <c r="J24" s="38">
        <f>40002.5+9000+13895</f>
        <v>62897.5</v>
      </c>
      <c r="K24" s="38">
        <f>38170+1200+12330</f>
        <v>51700</v>
      </c>
      <c r="L24" s="38"/>
      <c r="M24" s="75">
        <f t="shared" si="15"/>
        <v>0</v>
      </c>
      <c r="N24" s="38">
        <f>25450+11090</f>
        <v>36540</v>
      </c>
      <c r="O24" s="75">
        <f t="shared" si="40"/>
        <v>1.0317176470588236</v>
      </c>
      <c r="P24" s="38">
        <f>33305+85+10060</f>
        <v>43450</v>
      </c>
      <c r="Q24" s="75">
        <f t="shared" si="16"/>
        <v>1.2268235294117649</v>
      </c>
      <c r="R24" s="38"/>
      <c r="S24" s="38"/>
      <c r="T24" s="38"/>
      <c r="U24" s="75">
        <f t="shared" si="41"/>
        <v>0</v>
      </c>
      <c r="V24" s="38">
        <f>T24+S24+R24+P24+N24+L24+K24+J24+I24+H24+G24+F24</f>
        <v>362862.49</v>
      </c>
      <c r="W24" s="75">
        <f t="shared" si="8"/>
        <v>0.85379409411764706</v>
      </c>
      <c r="X24" s="38">
        <f t="shared" si="17"/>
        <v>40318.054444444446</v>
      </c>
      <c r="Y24" s="83">
        <f t="shared" ref="Y24:Y27" si="167">X24+(X24*$Y$2)</f>
        <v>42737.137711111114</v>
      </c>
      <c r="Z24" s="83">
        <v>44349.859888888888</v>
      </c>
      <c r="AA24" s="83">
        <f t="shared" si="62"/>
        <v>532198.31866666663</v>
      </c>
      <c r="AB24" s="81">
        <f t="shared" si="70"/>
        <v>26663.333333333332</v>
      </c>
      <c r="AF24" s="96">
        <v>460</v>
      </c>
      <c r="AG24" s="103">
        <f t="shared" si="21"/>
        <v>8.6433944615317961E-4</v>
      </c>
      <c r="AH24" s="96">
        <f>9110+6770</f>
        <v>15880</v>
      </c>
      <c r="AI24" s="103">
        <f t="shared" si="21"/>
        <v>2.9838500880244548E-2</v>
      </c>
      <c r="AJ24" s="83">
        <f>13627.5+18000+9048</f>
        <v>40675.5</v>
      </c>
      <c r="AK24" s="103">
        <f t="shared" ref="AK24:AM24" si="168">AJ24/$AA24</f>
        <v>7.6429215526094899E-2</v>
      </c>
      <c r="AL24" s="83">
        <f>23288+8050</f>
        <v>31338</v>
      </c>
      <c r="AM24" s="103">
        <f t="shared" si="168"/>
        <v>5.888406426858335E-2</v>
      </c>
      <c r="AN24" s="83">
        <f>20165+6970</f>
        <v>27135</v>
      </c>
      <c r="AO24" s="103">
        <f t="shared" ref="AO24:AQ24" si="169">AN24/$AA24</f>
        <v>5.0986632329057667E-2</v>
      </c>
      <c r="AP24" s="83">
        <f>17750+5570</f>
        <v>23320</v>
      </c>
      <c r="AQ24" s="103">
        <f t="shared" si="169"/>
        <v>4.3818251922374235E-2</v>
      </c>
      <c r="AR24" s="83"/>
      <c r="AS24" s="103">
        <f t="shared" ref="AS24" si="170">AR24/$AA24</f>
        <v>0</v>
      </c>
      <c r="AT24" s="83">
        <f>10567.5+4020</f>
        <v>14587.5</v>
      </c>
      <c r="AU24" s="103">
        <f t="shared" ref="AU24" si="171">AT24/$AA24</f>
        <v>2.7409894936433709E-2</v>
      </c>
      <c r="AV24" s="83">
        <f>20882.5+4360</f>
        <v>25242.5</v>
      </c>
      <c r="AW24" s="103">
        <f t="shared" ref="AW24:BC24" si="172">AV24/$AA24</f>
        <v>4.7430627107655728E-2</v>
      </c>
      <c r="AX24" s="83"/>
      <c r="AY24" s="103">
        <f t="shared" si="172"/>
        <v>0</v>
      </c>
      <c r="AZ24" s="83"/>
      <c r="BA24" s="103">
        <f t="shared" si="172"/>
        <v>0</v>
      </c>
      <c r="BB24" s="83"/>
      <c r="BC24" s="103">
        <f t="shared" si="172"/>
        <v>0</v>
      </c>
      <c r="BD24" s="104">
        <f t="shared" ref="BD24:BD27" si="173">AF24+AH24+AJ24+AL24+AN24+AP24+AR24+AT24+AV24+AX24+AZ24+BB24</f>
        <v>178638.5</v>
      </c>
      <c r="BE24" s="103">
        <f t="shared" ref="BE24" si="174">BD24/$AA24</f>
        <v>0.3356615264165973</v>
      </c>
    </row>
    <row r="25" spans="1:57" x14ac:dyDescent="0.25">
      <c r="A25" s="53" t="s">
        <v>15</v>
      </c>
      <c r="B25" s="45">
        <v>126000</v>
      </c>
      <c r="C25" s="38">
        <v>8333.3333333333339</v>
      </c>
      <c r="D25" s="38">
        <v>100000</v>
      </c>
      <c r="E25" s="35">
        <f t="shared" si="133"/>
        <v>-0.20634920634920639</v>
      </c>
      <c r="F25" s="38">
        <f>5228.35</f>
        <v>5228.3500000000004</v>
      </c>
      <c r="G25" s="38">
        <f>5920</f>
        <v>5920</v>
      </c>
      <c r="H25" s="38">
        <v>6630</v>
      </c>
      <c r="I25" s="38">
        <f>5907.5</f>
        <v>5907.5</v>
      </c>
      <c r="J25" s="38">
        <f>8180+1200</f>
        <v>9380</v>
      </c>
      <c r="K25" s="38">
        <f>3520</f>
        <v>3520</v>
      </c>
      <c r="L25" s="38">
        <f>4150</f>
        <v>4150</v>
      </c>
      <c r="M25" s="75">
        <f t="shared" si="15"/>
        <v>0.49799999999999994</v>
      </c>
      <c r="N25" s="38">
        <f>8895+1480</f>
        <v>10375</v>
      </c>
      <c r="O25" s="75">
        <f t="shared" si="40"/>
        <v>1.2449999999999999</v>
      </c>
      <c r="P25" s="38">
        <f>4450+1480</f>
        <v>5930</v>
      </c>
      <c r="Q25" s="75">
        <f t="shared" si="16"/>
        <v>0.7115999999999999</v>
      </c>
      <c r="R25" s="38"/>
      <c r="S25" s="38"/>
      <c r="T25" s="38"/>
      <c r="U25" s="75">
        <f t="shared" si="41"/>
        <v>0</v>
      </c>
      <c r="V25" s="38">
        <f>T25+S25+R25+P25+N25+L25+K25+J25+I25+H25+G25+F25</f>
        <v>57040.85</v>
      </c>
      <c r="W25" s="75">
        <f t="shared" si="8"/>
        <v>0.57040849999999998</v>
      </c>
      <c r="X25" s="38">
        <f t="shared" si="17"/>
        <v>6337.8722222222223</v>
      </c>
      <c r="Y25" s="83">
        <f t="shared" si="167"/>
        <v>6718.1445555555556</v>
      </c>
      <c r="Z25" s="83">
        <v>6971.6594444444445</v>
      </c>
      <c r="AA25" s="83">
        <f t="shared" si="62"/>
        <v>83659.91333333333</v>
      </c>
      <c r="AB25" s="81">
        <f t="shared" si="70"/>
        <v>6818.333333333333</v>
      </c>
      <c r="AF25" s="96"/>
      <c r="AG25" s="103">
        <f t="shared" si="21"/>
        <v>0</v>
      </c>
      <c r="AH25" s="96">
        <f>5295</f>
        <v>5295</v>
      </c>
      <c r="AI25" s="103">
        <f t="shared" si="21"/>
        <v>6.3291961335205787E-2</v>
      </c>
      <c r="AJ25" s="83">
        <f>12641</f>
        <v>12641</v>
      </c>
      <c r="AK25" s="103">
        <f t="shared" ref="AK25:AM25" si="175">AJ25/$AA25</f>
        <v>0.15109984574850543</v>
      </c>
      <c r="AL25" s="83">
        <f>8600+500</f>
        <v>9100</v>
      </c>
      <c r="AM25" s="103">
        <f t="shared" si="175"/>
        <v>0.10877372014171344</v>
      </c>
      <c r="AN25" s="83">
        <f>5930</f>
        <v>5930</v>
      </c>
      <c r="AO25" s="103">
        <f t="shared" ref="AO25:AQ25" si="176">AN25/$AA25</f>
        <v>7.0882215433006671E-2</v>
      </c>
      <c r="AP25" s="83">
        <f>5325</f>
        <v>5325</v>
      </c>
      <c r="AQ25" s="103">
        <f t="shared" si="176"/>
        <v>6.3650556016991655E-2</v>
      </c>
      <c r="AR25" s="83">
        <v>615</v>
      </c>
      <c r="AS25" s="103">
        <f t="shared" ref="AS25" si="177">AR25/$AA25</f>
        <v>7.3511909766103035E-3</v>
      </c>
      <c r="AT25" s="83">
        <v>9425</v>
      </c>
      <c r="AU25" s="103">
        <f t="shared" ref="AU25" si="178">AT25/$AA25</f>
        <v>0.11265849586106035</v>
      </c>
      <c r="AV25" s="83">
        <v>10170</v>
      </c>
      <c r="AW25" s="103">
        <f t="shared" ref="AW25:BC25" si="179">AV25/$AA25</f>
        <v>0.12156359712540941</v>
      </c>
      <c r="AX25" s="83"/>
      <c r="AY25" s="103">
        <f t="shared" si="179"/>
        <v>0</v>
      </c>
      <c r="AZ25" s="83"/>
      <c r="BA25" s="103">
        <f t="shared" si="179"/>
        <v>0</v>
      </c>
      <c r="BB25" s="83"/>
      <c r="BC25" s="103">
        <f t="shared" si="179"/>
        <v>0</v>
      </c>
      <c r="BD25" s="104">
        <f t="shared" si="173"/>
        <v>58501</v>
      </c>
      <c r="BE25" s="103">
        <f t="shared" ref="BE25" si="180">BD25/$AA25</f>
        <v>0.69927158263850309</v>
      </c>
    </row>
    <row r="26" spans="1:57" x14ac:dyDescent="0.25">
      <c r="A26" s="53" t="s">
        <v>155</v>
      </c>
      <c r="B26" s="45">
        <v>11550</v>
      </c>
      <c r="C26" s="38">
        <v>416.66666666666669</v>
      </c>
      <c r="D26" s="38">
        <v>5000</v>
      </c>
      <c r="E26" s="35">
        <f t="shared" si="133"/>
        <v>-0.5670995670995671</v>
      </c>
      <c r="F26" s="38">
        <v>64.39</v>
      </c>
      <c r="G26" s="38">
        <v>1289.3699999999999</v>
      </c>
      <c r="H26" s="38">
        <v>641.55999999999995</v>
      </c>
      <c r="I26" s="38">
        <v>1086.3399999999999</v>
      </c>
      <c r="J26" s="38">
        <v>1708.29</v>
      </c>
      <c r="K26" s="38">
        <v>128.78</v>
      </c>
      <c r="L26" s="38">
        <v>1255.99</v>
      </c>
      <c r="M26" s="75">
        <f t="shared" si="15"/>
        <v>3.0143759999999999</v>
      </c>
      <c r="N26" s="38">
        <f>1093.9+1900</f>
        <v>2993.9</v>
      </c>
      <c r="O26" s="75">
        <f t="shared" si="40"/>
        <v>7.1853600000000002</v>
      </c>
      <c r="P26" s="38">
        <v>712.56</v>
      </c>
      <c r="Q26" s="75">
        <f t="shared" si="16"/>
        <v>1.7101439999999999</v>
      </c>
      <c r="R26" s="38"/>
      <c r="S26" s="38"/>
      <c r="T26" s="38"/>
      <c r="U26" s="75">
        <f t="shared" si="41"/>
        <v>0</v>
      </c>
      <c r="V26" s="38">
        <f>T26+S26+R26+P26+N26+L26+K26+J26+I26+H26+G26+F26</f>
        <v>9881.18</v>
      </c>
      <c r="W26" s="75">
        <f t="shared" si="8"/>
        <v>1.9762360000000001</v>
      </c>
      <c r="X26" s="38">
        <f t="shared" si="17"/>
        <v>1097.9088888888889</v>
      </c>
      <c r="Y26" s="83">
        <f t="shared" si="167"/>
        <v>1163.7834222222223</v>
      </c>
      <c r="Z26" s="83">
        <v>1207.6997777777779</v>
      </c>
      <c r="AA26" s="83">
        <f t="shared" si="62"/>
        <v>14492.397333333334</v>
      </c>
      <c r="AB26" s="81">
        <f t="shared" si="70"/>
        <v>1654.1500000000003</v>
      </c>
      <c r="AF26" s="96">
        <v>2433.02</v>
      </c>
      <c r="AG26" s="103">
        <f t="shared" si="21"/>
        <v>0.16788250722355758</v>
      </c>
      <c r="AH26" s="96">
        <v>1386.42</v>
      </c>
      <c r="AI26" s="103">
        <f t="shared" si="21"/>
        <v>9.5665331836517861E-2</v>
      </c>
      <c r="AJ26" s="83">
        <v>1522.53</v>
      </c>
      <c r="AK26" s="103">
        <f t="shared" ref="AK26:AM26" si="181">AJ26/$AA26</f>
        <v>0.10505715272504258</v>
      </c>
      <c r="AL26" s="83">
        <f>1554.64+977</f>
        <v>2531.6400000000003</v>
      </c>
      <c r="AM26" s="103">
        <f t="shared" si="181"/>
        <v>0.17468745451638185</v>
      </c>
      <c r="AN26" s="83">
        <f>1737.21+775</f>
        <v>2512.21</v>
      </c>
      <c r="AO26" s="103">
        <f t="shared" ref="AO26:AQ26" si="182">AN26/$AA26</f>
        <v>0.17334675155654025</v>
      </c>
      <c r="AP26" s="83">
        <f>14417.09</f>
        <v>14417.09</v>
      </c>
      <c r="AQ26" s="103">
        <f t="shared" si="182"/>
        <v>0.99480366625333116</v>
      </c>
      <c r="AR26" s="83">
        <v>4809.58</v>
      </c>
      <c r="AS26" s="103">
        <f t="shared" ref="AS26" si="183">AR26/$AA26</f>
        <v>0.33186917867188842</v>
      </c>
      <c r="AT26" s="83">
        <v>2768.35</v>
      </c>
      <c r="AU26" s="103">
        <f t="shared" ref="AU26" si="184">AT26/$AA26</f>
        <v>0.19102084605647943</v>
      </c>
      <c r="AV26" s="83">
        <v>2168.35</v>
      </c>
      <c r="AW26" s="103">
        <f t="shared" ref="AW26:BC26" si="185">AV26/$AA26</f>
        <v>0.14961982825385778</v>
      </c>
      <c r="AX26" s="83"/>
      <c r="AY26" s="103">
        <f t="shared" si="185"/>
        <v>0</v>
      </c>
      <c r="AZ26" s="83"/>
      <c r="BA26" s="103">
        <f t="shared" si="185"/>
        <v>0</v>
      </c>
      <c r="BB26" s="83"/>
      <c r="BC26" s="103">
        <f t="shared" si="185"/>
        <v>0</v>
      </c>
      <c r="BD26" s="104">
        <f t="shared" si="173"/>
        <v>34549.189999999995</v>
      </c>
      <c r="BE26" s="103">
        <f t="shared" ref="BE26" si="186">BD26/$AA26</f>
        <v>2.3839527170935964</v>
      </c>
    </row>
    <row r="27" spans="1:57" x14ac:dyDescent="0.25">
      <c r="A27" s="18" t="s">
        <v>16</v>
      </c>
      <c r="B27" s="45">
        <v>78750</v>
      </c>
      <c r="C27" s="38">
        <v>10000</v>
      </c>
      <c r="D27" s="38">
        <v>120000</v>
      </c>
      <c r="E27" s="35">
        <f t="shared" si="133"/>
        <v>0.52380952380952372</v>
      </c>
      <c r="F27" s="38">
        <f>23038.5-1630</f>
        <v>21408.5</v>
      </c>
      <c r="G27" s="38">
        <v>-780</v>
      </c>
      <c r="H27" s="38">
        <v>0</v>
      </c>
      <c r="I27" s="38"/>
      <c r="J27" s="38">
        <v>2915</v>
      </c>
      <c r="K27" s="38">
        <v>47928.800000000003</v>
      </c>
      <c r="L27" s="38">
        <v>53790</v>
      </c>
      <c r="M27" s="75">
        <f t="shared" si="15"/>
        <v>5.3789999999999996</v>
      </c>
      <c r="N27" s="38">
        <v>2100</v>
      </c>
      <c r="O27" s="75">
        <f t="shared" si="40"/>
        <v>0.21</v>
      </c>
      <c r="P27" s="38"/>
      <c r="Q27" s="75">
        <f t="shared" si="16"/>
        <v>0</v>
      </c>
      <c r="R27" s="38"/>
      <c r="S27" s="38"/>
      <c r="T27" s="38"/>
      <c r="U27" s="75" t="e">
        <f t="shared" si="41"/>
        <v>#DIV/0!</v>
      </c>
      <c r="V27" s="38">
        <f>T27+S27+R27+P27+N27+L27+K27+J27+I27+H27+G27+F27</f>
        <v>127362.3</v>
      </c>
      <c r="W27" s="75">
        <f t="shared" si="8"/>
        <v>1.0613524999999999</v>
      </c>
      <c r="X27" s="38">
        <f t="shared" si="17"/>
        <v>14151.366666666667</v>
      </c>
      <c r="Y27" s="83">
        <f t="shared" si="167"/>
        <v>15000.448666666667</v>
      </c>
      <c r="Z27" s="83">
        <v>15566.503333333334</v>
      </c>
      <c r="AA27" s="83">
        <f t="shared" si="62"/>
        <v>186798.04</v>
      </c>
      <c r="AB27" s="81">
        <f t="shared" si="70"/>
        <v>18630</v>
      </c>
      <c r="AF27" s="96">
        <v>59565</v>
      </c>
      <c r="AG27" s="103">
        <f t="shared" si="21"/>
        <v>0.31887379546380679</v>
      </c>
      <c r="AH27" s="96"/>
      <c r="AI27" s="103">
        <f t="shared" si="21"/>
        <v>0</v>
      </c>
      <c r="AJ27" s="83"/>
      <c r="AK27" s="103">
        <f t="shared" ref="AK27:AM27" si="187">AJ27/$AA27</f>
        <v>0</v>
      </c>
      <c r="AL27" s="83"/>
      <c r="AM27" s="103">
        <f t="shared" si="187"/>
        <v>0</v>
      </c>
      <c r="AN27" s="83"/>
      <c r="AO27" s="103">
        <f t="shared" ref="AO27:AQ27" si="188">AN27/$AA27</f>
        <v>0</v>
      </c>
      <c r="AP27" s="83">
        <f>14246</f>
        <v>14246</v>
      </c>
      <c r="AQ27" s="103">
        <f t="shared" si="188"/>
        <v>7.6264183499998181E-2</v>
      </c>
      <c r="AR27" s="83">
        <v>54361</v>
      </c>
      <c r="AS27" s="103">
        <f t="shared" ref="AS27" si="189">AR27/$AA27</f>
        <v>0.29101483077659701</v>
      </c>
      <c r="AT27" s="83">
        <v>330</v>
      </c>
      <c r="AU27" s="103">
        <f t="shared" ref="AU27" si="190">AT27/$AA27</f>
        <v>1.7666138252842481E-3</v>
      </c>
      <c r="AV27" s="83"/>
      <c r="AW27" s="103">
        <f t="shared" ref="AW27:BC27" si="191">AV27/$AA27</f>
        <v>0</v>
      </c>
      <c r="AX27" s="83"/>
      <c r="AY27" s="103">
        <f t="shared" si="191"/>
        <v>0</v>
      </c>
      <c r="AZ27" s="83"/>
      <c r="BA27" s="103">
        <f t="shared" si="191"/>
        <v>0</v>
      </c>
      <c r="BB27" s="83"/>
      <c r="BC27" s="103">
        <f t="shared" si="191"/>
        <v>0</v>
      </c>
      <c r="BD27" s="104">
        <f t="shared" si="173"/>
        <v>128502</v>
      </c>
      <c r="BE27" s="103">
        <f t="shared" ref="BE27" si="192">BD27/$AA27</f>
        <v>0.68791942356568625</v>
      </c>
    </row>
    <row r="28" spans="1:57" x14ac:dyDescent="0.25">
      <c r="A28" s="50" t="s">
        <v>117</v>
      </c>
      <c r="B28" s="51">
        <v>25000</v>
      </c>
      <c r="C28" s="40">
        <v>5833.333333333333</v>
      </c>
      <c r="D28" s="40">
        <f>D29</f>
        <v>70000</v>
      </c>
      <c r="E28" s="35">
        <f t="shared" si="133"/>
        <v>1.7999999999999998</v>
      </c>
      <c r="F28" s="40">
        <f>F29</f>
        <v>4947.869999999999</v>
      </c>
      <c r="G28" s="40">
        <f t="shared" ref="G28:V28" si="193">G29</f>
        <v>5242.7299999999996</v>
      </c>
      <c r="H28" s="40">
        <f t="shared" si="193"/>
        <v>8175.67</v>
      </c>
      <c r="I28" s="40">
        <f t="shared" si="193"/>
        <v>12315.919999999998</v>
      </c>
      <c r="J28" s="40">
        <f t="shared" si="193"/>
        <v>9857.24</v>
      </c>
      <c r="K28" s="40">
        <f t="shared" si="193"/>
        <v>9875.9</v>
      </c>
      <c r="L28" s="40">
        <f t="shared" si="193"/>
        <v>7706.82</v>
      </c>
      <c r="M28" s="73">
        <f t="shared" si="15"/>
        <v>1.3211691428571428</v>
      </c>
      <c r="N28" s="40">
        <f t="shared" si="193"/>
        <v>9828.14</v>
      </c>
      <c r="O28" s="73">
        <f t="shared" si="40"/>
        <v>1.6848239999999999</v>
      </c>
      <c r="P28" s="40">
        <f t="shared" si="193"/>
        <v>2986.9000000000005</v>
      </c>
      <c r="Q28" s="73">
        <f t="shared" si="16"/>
        <v>0.51204000000000016</v>
      </c>
      <c r="R28" s="40">
        <f t="shared" si="193"/>
        <v>0</v>
      </c>
      <c r="S28" s="40">
        <f t="shared" si="193"/>
        <v>0</v>
      </c>
      <c r="T28" s="40">
        <f t="shared" si="193"/>
        <v>0</v>
      </c>
      <c r="U28" s="73">
        <f t="shared" si="41"/>
        <v>0</v>
      </c>
      <c r="V28" s="40">
        <f t="shared" si="193"/>
        <v>70937.189999999988</v>
      </c>
      <c r="W28" s="73">
        <f t="shared" si="8"/>
        <v>1.0133884285714283</v>
      </c>
      <c r="X28" s="40">
        <f t="shared" si="17"/>
        <v>7881.9099999999989</v>
      </c>
      <c r="Y28" s="40">
        <f t="shared" ref="Y28" si="194">Y29</f>
        <v>8354.8245999999981</v>
      </c>
      <c r="Z28" s="40">
        <v>8670.1009999999987</v>
      </c>
      <c r="AA28" s="40">
        <f t="shared" ref="AA28" si="195">AA29</f>
        <v>36000</v>
      </c>
      <c r="AB28" s="81">
        <f t="shared" si="70"/>
        <v>6840.62</v>
      </c>
      <c r="AF28" s="40">
        <f t="shared" ref="AF28:BD28" si="196">AF29</f>
        <v>3124.8</v>
      </c>
      <c r="AG28" s="73">
        <f t="shared" si="21"/>
        <v>8.6800000000000002E-2</v>
      </c>
      <c r="AH28" s="40">
        <f t="shared" si="196"/>
        <v>2024.64</v>
      </c>
      <c r="AI28" s="73">
        <f t="shared" si="21"/>
        <v>5.6240000000000005E-2</v>
      </c>
      <c r="AJ28" s="40">
        <f t="shared" si="196"/>
        <v>2568.9</v>
      </c>
      <c r="AK28" s="73">
        <f t="shared" ref="AK28:AM28" si="197">AJ28/$AA28</f>
        <v>7.1358333333333329E-2</v>
      </c>
      <c r="AL28" s="40">
        <f t="shared" si="196"/>
        <v>3160.08</v>
      </c>
      <c r="AM28" s="73">
        <f t="shared" si="197"/>
        <v>8.7779999999999997E-2</v>
      </c>
      <c r="AN28" s="40">
        <f t="shared" si="196"/>
        <v>3606.44</v>
      </c>
      <c r="AO28" s="73">
        <f t="shared" ref="AO28:AQ28" si="198">AN28/$AA28</f>
        <v>0.10017888888888889</v>
      </c>
      <c r="AP28" s="40">
        <f t="shared" si="196"/>
        <v>4008</v>
      </c>
      <c r="AQ28" s="73">
        <f t="shared" si="198"/>
        <v>0.11133333333333334</v>
      </c>
      <c r="AR28" s="40">
        <f t="shared" si="196"/>
        <v>3748.71</v>
      </c>
      <c r="AS28" s="73">
        <f t="shared" ref="AS28" si="199">AR28/$AA28</f>
        <v>0.10413083333333334</v>
      </c>
      <c r="AT28" s="40">
        <f t="shared" si="196"/>
        <v>4824</v>
      </c>
      <c r="AU28" s="73">
        <f t="shared" ref="AU28" si="200">AT28/$AA28</f>
        <v>0.13400000000000001</v>
      </c>
      <c r="AV28" s="40">
        <f t="shared" si="196"/>
        <v>3516.6000000000004</v>
      </c>
      <c r="AW28" s="73">
        <f t="shared" ref="AW28:BC28" si="201">AV28/$AA28</f>
        <v>9.7683333333333344E-2</v>
      </c>
      <c r="AX28" s="40">
        <f t="shared" si="196"/>
        <v>0</v>
      </c>
      <c r="AY28" s="73">
        <f t="shared" si="201"/>
        <v>0</v>
      </c>
      <c r="AZ28" s="40">
        <f t="shared" si="196"/>
        <v>0</v>
      </c>
      <c r="BA28" s="73">
        <f t="shared" si="201"/>
        <v>0</v>
      </c>
      <c r="BB28" s="40">
        <f t="shared" si="196"/>
        <v>0</v>
      </c>
      <c r="BC28" s="73">
        <f t="shared" si="201"/>
        <v>0</v>
      </c>
      <c r="BD28" s="40">
        <f t="shared" si="196"/>
        <v>30582.17</v>
      </c>
      <c r="BE28" s="73">
        <f t="shared" ref="BE28" si="202">BD28/$AA28</f>
        <v>0.84950472222222217</v>
      </c>
    </row>
    <row r="29" spans="1:57" x14ac:dyDescent="0.25">
      <c r="A29" s="92" t="s">
        <v>17</v>
      </c>
      <c r="B29" s="45">
        <v>25000</v>
      </c>
      <c r="C29" s="38">
        <v>5833.333333333333</v>
      </c>
      <c r="D29" s="38">
        <v>70000</v>
      </c>
      <c r="E29" s="35">
        <f t="shared" si="133"/>
        <v>1.7999999999999998</v>
      </c>
      <c r="F29" s="38">
        <f>9029.64-4935.81+854.04</f>
        <v>4947.869999999999</v>
      </c>
      <c r="G29" s="38">
        <f>9641.21-4398.48</f>
        <v>5242.7299999999996</v>
      </c>
      <c r="H29" s="38">
        <f>7085.87-1924.47+3014.27</f>
        <v>8175.67</v>
      </c>
      <c r="I29" s="38">
        <f>11342.82+336.22+636.88</f>
        <v>12315.919999999998</v>
      </c>
      <c r="J29" s="38">
        <f>8175.64+1681.6</f>
        <v>9857.24</v>
      </c>
      <c r="K29" s="38">
        <v>9875.9</v>
      </c>
      <c r="L29" s="38">
        <v>7706.82</v>
      </c>
      <c r="M29" s="75">
        <f t="shared" si="15"/>
        <v>1.3211691428571428</v>
      </c>
      <c r="N29" s="38">
        <v>9828.14</v>
      </c>
      <c r="O29" s="75">
        <f t="shared" si="40"/>
        <v>1.6848239999999999</v>
      </c>
      <c r="P29" s="38">
        <f>8610.94-5624.04</f>
        <v>2986.9000000000005</v>
      </c>
      <c r="Q29" s="75">
        <f t="shared" si="16"/>
        <v>0.51204000000000016</v>
      </c>
      <c r="R29" s="38"/>
      <c r="S29" s="38"/>
      <c r="T29" s="38"/>
      <c r="U29" s="75">
        <f t="shared" si="41"/>
        <v>0</v>
      </c>
      <c r="V29" s="38">
        <f t="shared" ref="V29:V34" si="203">T29+S29+R29+P29+N29+L29+K29+J29+I29+H29+G29+F29</f>
        <v>70937.189999999988</v>
      </c>
      <c r="W29" s="75">
        <f t="shared" si="8"/>
        <v>1.0133884285714283</v>
      </c>
      <c r="X29" s="38">
        <f t="shared" si="17"/>
        <v>7881.9099999999989</v>
      </c>
      <c r="Y29" s="83">
        <f>X29+(X29*$Y$2)</f>
        <v>8354.8245999999981</v>
      </c>
      <c r="Z29" s="83">
        <v>3000</v>
      </c>
      <c r="AA29" s="83">
        <f t="shared" si="62"/>
        <v>36000</v>
      </c>
      <c r="AB29" s="81">
        <f t="shared" si="70"/>
        <v>6840.62</v>
      </c>
      <c r="AF29" s="96">
        <f>866.59+2258.21</f>
        <v>3124.8</v>
      </c>
      <c r="AG29" s="103">
        <f t="shared" si="21"/>
        <v>8.6800000000000002E-2</v>
      </c>
      <c r="AH29" s="96">
        <f>737.5+1287.14</f>
        <v>2024.64</v>
      </c>
      <c r="AI29" s="103">
        <f t="shared" si="21"/>
        <v>5.6240000000000005E-2</v>
      </c>
      <c r="AJ29" s="83">
        <v>2568.9</v>
      </c>
      <c r="AK29" s="103">
        <f t="shared" ref="AK29:AM29" si="204">AJ29/$AA29</f>
        <v>7.1358333333333329E-2</v>
      </c>
      <c r="AL29" s="83">
        <f>1518.51+1641.57</f>
        <v>3160.08</v>
      </c>
      <c r="AM29" s="103">
        <f t="shared" si="204"/>
        <v>8.7779999999999997E-2</v>
      </c>
      <c r="AN29" s="83">
        <f>2308.32+1298.12</f>
        <v>3606.44</v>
      </c>
      <c r="AO29" s="103">
        <f t="shared" ref="AO29:AQ29" si="205">AN29/$AA29</f>
        <v>0.10017888888888889</v>
      </c>
      <c r="AP29" s="83">
        <f>2220.38+1787.62</f>
        <v>4008</v>
      </c>
      <c r="AQ29" s="103">
        <f t="shared" si="205"/>
        <v>0.11133333333333334</v>
      </c>
      <c r="AR29" s="83">
        <f>3748.71</f>
        <v>3748.71</v>
      </c>
      <c r="AS29" s="103">
        <f t="shared" ref="AS29" si="206">AR29/$AA29</f>
        <v>0.10413083333333334</v>
      </c>
      <c r="AT29" s="83">
        <v>4824</v>
      </c>
      <c r="AU29" s="103">
        <f t="shared" ref="AU29" si="207">AT29/$AA29</f>
        <v>0.13400000000000001</v>
      </c>
      <c r="AV29" s="83">
        <f>2006.64+1509.96</f>
        <v>3516.6000000000004</v>
      </c>
      <c r="AW29" s="103">
        <f t="shared" ref="AW29:BC29" si="208">AV29/$AA29</f>
        <v>9.7683333333333344E-2</v>
      </c>
      <c r="AX29" s="83"/>
      <c r="AY29" s="103">
        <f t="shared" si="208"/>
        <v>0</v>
      </c>
      <c r="AZ29" s="83"/>
      <c r="BA29" s="103">
        <f t="shared" si="208"/>
        <v>0</v>
      </c>
      <c r="BB29" s="83"/>
      <c r="BC29" s="103">
        <f t="shared" si="208"/>
        <v>0</v>
      </c>
      <c r="BD29" s="104">
        <f>AF29+AH29+AJ29+AL29+AN29+AP29+AR29+AT29+AV29+AX29+AZ29+BB29</f>
        <v>30582.17</v>
      </c>
      <c r="BE29" s="103">
        <f t="shared" ref="BE29" si="209">BD29/$AA29</f>
        <v>0.84950472222222217</v>
      </c>
    </row>
    <row r="30" spans="1:57" x14ac:dyDescent="0.25">
      <c r="A30" s="50" t="s">
        <v>18</v>
      </c>
      <c r="B30" s="51">
        <v>151751</v>
      </c>
      <c r="C30" s="40">
        <v>35463.296666666669</v>
      </c>
      <c r="D30" s="40">
        <f>SUM(D31:D34)</f>
        <v>425559.56</v>
      </c>
      <c r="E30" s="35">
        <f t="shared" si="133"/>
        <v>1.8043278792232011</v>
      </c>
      <c r="F30" s="40">
        <f>SUM(F31:F34)</f>
        <v>21919.81</v>
      </c>
      <c r="G30" s="40">
        <f t="shared" ref="G30:T30" si="210">SUM(G31:G34)</f>
        <v>34583.81</v>
      </c>
      <c r="H30" s="40">
        <f t="shared" si="210"/>
        <v>23772.81</v>
      </c>
      <c r="I30" s="40">
        <f t="shared" si="210"/>
        <v>33327.81</v>
      </c>
      <c r="J30" s="40">
        <f t="shared" si="210"/>
        <v>67120.81</v>
      </c>
      <c r="K30" s="40">
        <f t="shared" si="210"/>
        <v>26557.81</v>
      </c>
      <c r="L30" s="40">
        <f t="shared" si="210"/>
        <v>83891.81</v>
      </c>
      <c r="M30" s="73">
        <f t="shared" si="15"/>
        <v>2.3655953587319245</v>
      </c>
      <c r="N30" s="40">
        <f t="shared" si="210"/>
        <v>61742.799999999996</v>
      </c>
      <c r="O30" s="73">
        <f t="shared" si="40"/>
        <v>1.741033851994771</v>
      </c>
      <c r="P30" s="40">
        <f t="shared" si="210"/>
        <v>61639.81</v>
      </c>
      <c r="Q30" s="73">
        <f t="shared" si="16"/>
        <v>1.7381297226644372</v>
      </c>
      <c r="R30" s="40">
        <f t="shared" si="210"/>
        <v>0</v>
      </c>
      <c r="S30" s="40">
        <f t="shared" si="210"/>
        <v>0</v>
      </c>
      <c r="T30" s="40">
        <f t="shared" si="210"/>
        <v>0</v>
      </c>
      <c r="U30" s="73">
        <f t="shared" si="41"/>
        <v>0</v>
      </c>
      <c r="V30" s="40">
        <f>SUM(V31:V34)</f>
        <v>414557.27999999997</v>
      </c>
      <c r="W30" s="73">
        <f t="shared" si="8"/>
        <v>0.9741463216100702</v>
      </c>
      <c r="X30" s="40">
        <f t="shared" si="17"/>
        <v>46061.919999999998</v>
      </c>
      <c r="Y30" s="40">
        <f>SUM(Y31:Y34)</f>
        <v>48825.635199999997</v>
      </c>
      <c r="Z30" s="40">
        <v>50668.111999999994</v>
      </c>
      <c r="AA30" s="40">
        <f>SUM(AA31:AA34)</f>
        <v>432000</v>
      </c>
      <c r="AB30" s="81">
        <f t="shared" si="70"/>
        <v>69091.473333333328</v>
      </c>
      <c r="AF30" s="40">
        <f>SUM(AF31:AF34)</f>
        <v>14185.48</v>
      </c>
      <c r="AG30" s="73">
        <f t="shared" si="21"/>
        <v>3.283675925925926E-2</v>
      </c>
      <c r="AH30" s="40">
        <f>SUM(AH31:AH34)</f>
        <v>46873.48</v>
      </c>
      <c r="AI30" s="73">
        <f t="shared" si="21"/>
        <v>0.10850342592592593</v>
      </c>
      <c r="AJ30" s="40">
        <f>SUM(AJ31:AJ34)</f>
        <v>26903.48</v>
      </c>
      <c r="AK30" s="73">
        <f t="shared" ref="AK30:AM30" si="211">AJ30/$AA30</f>
        <v>6.2276574074074074E-2</v>
      </c>
      <c r="AL30" s="40">
        <f>SUM(AL31:AL34)</f>
        <v>10518.48</v>
      </c>
      <c r="AM30" s="73">
        <f t="shared" si="211"/>
        <v>2.4348333333333333E-2</v>
      </c>
      <c r="AN30" s="40">
        <f>SUM(AN31:AN34)</f>
        <v>67302.48</v>
      </c>
      <c r="AO30" s="73">
        <f t="shared" ref="AO30:AQ30" si="212">AN30/$AA30</f>
        <v>0.15579277777777778</v>
      </c>
      <c r="AP30" s="40">
        <f>SUM(AP31:AP34)</f>
        <v>16923.98</v>
      </c>
      <c r="AQ30" s="73">
        <f t="shared" si="212"/>
        <v>3.917587962962963E-2</v>
      </c>
      <c r="AR30" s="40">
        <f>SUM(AR31:AR34)</f>
        <v>6628.48</v>
      </c>
      <c r="AS30" s="73">
        <f t="shared" ref="AS30" si="213">AR30/$AA30</f>
        <v>1.5343703703703703E-2</v>
      </c>
      <c r="AT30" s="40">
        <f>SUM(AT31:AT34)</f>
        <v>9820.98</v>
      </c>
      <c r="AU30" s="73">
        <f t="shared" ref="AU30" si="214">AT30/$AA30</f>
        <v>2.273375E-2</v>
      </c>
      <c r="AV30" s="40">
        <f>SUM(AV31:AV34)</f>
        <v>4740.4799999999996</v>
      </c>
      <c r="AW30" s="73">
        <f t="shared" ref="AW30:BC30" si="215">AV30/$AA30</f>
        <v>1.0973333333333331E-2</v>
      </c>
      <c r="AX30" s="40">
        <f>SUM(AX31:AX34)</f>
        <v>0</v>
      </c>
      <c r="AY30" s="73">
        <f t="shared" si="215"/>
        <v>0</v>
      </c>
      <c r="AZ30" s="40">
        <f>SUM(AZ31:AZ34)</f>
        <v>0</v>
      </c>
      <c r="BA30" s="73">
        <f t="shared" si="215"/>
        <v>0</v>
      </c>
      <c r="BB30" s="40">
        <f>SUM(BB31:BB34)</f>
        <v>0</v>
      </c>
      <c r="BC30" s="73">
        <f t="shared" si="215"/>
        <v>0</v>
      </c>
      <c r="BD30" s="40">
        <f t="shared" ref="BD30" si="216">SUM(BD31:BD34)</f>
        <v>197068.32</v>
      </c>
      <c r="BE30" s="73">
        <f t="shared" ref="BE30" si="217">BD30/$AA30</f>
        <v>0.45617666666666667</v>
      </c>
    </row>
    <row r="31" spans="1:57" x14ac:dyDescent="0.25">
      <c r="A31" s="97" t="s">
        <v>19</v>
      </c>
      <c r="B31" s="94">
        <v>0</v>
      </c>
      <c r="C31" s="46">
        <v>16666.666666666668</v>
      </c>
      <c r="D31" s="46">
        <v>200000</v>
      </c>
      <c r="E31" s="95">
        <f t="shared" si="133"/>
        <v>0</v>
      </c>
      <c r="F31" s="46">
        <v>20000</v>
      </c>
      <c r="G31" s="46">
        <v>20000</v>
      </c>
      <c r="H31" s="46">
        <v>20300</v>
      </c>
      <c r="I31" s="46">
        <v>20000</v>
      </c>
      <c r="J31" s="46">
        <v>40000</v>
      </c>
      <c r="K31" s="46">
        <v>20000</v>
      </c>
      <c r="L31" s="46">
        <v>40000</v>
      </c>
      <c r="M31" s="76">
        <f t="shared" si="15"/>
        <v>2.4</v>
      </c>
      <c r="N31" s="46">
        <v>40000</v>
      </c>
      <c r="O31" s="76">
        <f t="shared" si="40"/>
        <v>2.4</v>
      </c>
      <c r="P31" s="46">
        <v>40000</v>
      </c>
      <c r="Q31" s="76">
        <f t="shared" si="16"/>
        <v>2.4</v>
      </c>
      <c r="R31" s="46"/>
      <c r="S31" s="46"/>
      <c r="T31" s="46"/>
      <c r="U31" s="76">
        <f t="shared" si="41"/>
        <v>0</v>
      </c>
      <c r="V31" s="46">
        <f t="shared" si="203"/>
        <v>260300</v>
      </c>
      <c r="W31" s="76">
        <f t="shared" si="8"/>
        <v>1.3015000000000001</v>
      </c>
      <c r="X31" s="46">
        <f t="shared" si="17"/>
        <v>28922.222222222223</v>
      </c>
      <c r="Y31" s="96">
        <f t="shared" ref="Y31:Y34" si="218">X31+(X31*$Y$2)</f>
        <v>30657.555555555555</v>
      </c>
      <c r="Z31" s="96">
        <f>30000</f>
        <v>30000</v>
      </c>
      <c r="AA31" s="96">
        <f t="shared" si="62"/>
        <v>360000</v>
      </c>
      <c r="AB31" s="81">
        <f t="shared" si="70"/>
        <v>40000</v>
      </c>
      <c r="AF31" s="96"/>
      <c r="AG31" s="102">
        <f t="shared" si="21"/>
        <v>0</v>
      </c>
      <c r="AH31" s="96">
        <v>40000</v>
      </c>
      <c r="AI31" s="102">
        <f t="shared" si="21"/>
        <v>0.1111111111111111</v>
      </c>
      <c r="AJ31" s="96">
        <v>20000</v>
      </c>
      <c r="AK31" s="102">
        <f t="shared" ref="AK31:AM31" si="219">AJ31/$AA31</f>
        <v>5.5555555555555552E-2</v>
      </c>
      <c r="AL31" s="96"/>
      <c r="AM31" s="102">
        <f t="shared" si="219"/>
        <v>0</v>
      </c>
      <c r="AN31" s="96">
        <v>20000</v>
      </c>
      <c r="AO31" s="102">
        <f t="shared" ref="AO31:AQ31" si="220">AN31/$AA31</f>
        <v>5.5555555555555552E-2</v>
      </c>
      <c r="AP31" s="96">
        <v>8000</v>
      </c>
      <c r="AQ31" s="102">
        <f t="shared" si="220"/>
        <v>2.2222222222222223E-2</v>
      </c>
      <c r="AR31" s="96"/>
      <c r="AS31" s="102">
        <f t="shared" ref="AS31" si="221">AR31/$AA31</f>
        <v>0</v>
      </c>
      <c r="AT31" s="96"/>
      <c r="AU31" s="102">
        <f t="shared" ref="AU31" si="222">AT31/$AA31</f>
        <v>0</v>
      </c>
      <c r="AV31" s="96"/>
      <c r="AW31" s="102">
        <f t="shared" ref="AW31:BC31" si="223">AV31/$AA31</f>
        <v>0</v>
      </c>
      <c r="AX31" s="96"/>
      <c r="AY31" s="102">
        <f t="shared" si="223"/>
        <v>0</v>
      </c>
      <c r="AZ31" s="96"/>
      <c r="BA31" s="102">
        <f t="shared" si="223"/>
        <v>0</v>
      </c>
      <c r="BB31" s="96"/>
      <c r="BC31" s="102">
        <f t="shared" si="223"/>
        <v>0</v>
      </c>
      <c r="BD31" s="104">
        <f t="shared" ref="BD31:BD33" si="224">AF31+AH31+AJ31+AL31+AN31+AP31+AR31+AT31+AV31+AX31+AZ31+BB31</f>
        <v>88000</v>
      </c>
      <c r="BE31" s="102">
        <f t="shared" ref="BE31" si="225">BD31/$AA31</f>
        <v>0.24444444444444444</v>
      </c>
    </row>
    <row r="32" spans="1:57" x14ac:dyDescent="0.25">
      <c r="A32" s="97" t="s">
        <v>24</v>
      </c>
      <c r="B32" s="94">
        <v>0</v>
      </c>
      <c r="C32" s="46">
        <v>4166.666666666667</v>
      </c>
      <c r="D32" s="46">
        <v>50000</v>
      </c>
      <c r="E32" s="95">
        <f t="shared" si="133"/>
        <v>0</v>
      </c>
      <c r="F32" s="46">
        <v>0</v>
      </c>
      <c r="G32" s="46"/>
      <c r="H32" s="46"/>
      <c r="I32" s="46"/>
      <c r="J32" s="46">
        <v>10000</v>
      </c>
      <c r="K32" s="46"/>
      <c r="L32" s="46">
        <v>5000</v>
      </c>
      <c r="M32" s="76">
        <f t="shared" si="15"/>
        <v>1.2</v>
      </c>
      <c r="N32" s="46">
        <v>10000</v>
      </c>
      <c r="O32" s="76">
        <f t="shared" si="40"/>
        <v>2.4</v>
      </c>
      <c r="P32" s="46">
        <v>10000</v>
      </c>
      <c r="Q32" s="76">
        <f t="shared" si="16"/>
        <v>2.4</v>
      </c>
      <c r="R32" s="46"/>
      <c r="S32" s="46"/>
      <c r="T32" s="46"/>
      <c r="U32" s="76" t="e">
        <f t="shared" si="41"/>
        <v>#DIV/0!</v>
      </c>
      <c r="V32" s="46">
        <f t="shared" si="203"/>
        <v>35000</v>
      </c>
      <c r="W32" s="76">
        <f t="shared" si="8"/>
        <v>0.7</v>
      </c>
      <c r="X32" s="46">
        <f t="shared" si="17"/>
        <v>3888.8888888888887</v>
      </c>
      <c r="Y32" s="96">
        <f t="shared" si="218"/>
        <v>4122.2222222222217</v>
      </c>
      <c r="Z32" s="96">
        <v>5000</v>
      </c>
      <c r="AA32" s="96">
        <f t="shared" si="62"/>
        <v>60000</v>
      </c>
      <c r="AB32" s="81">
        <f t="shared" si="70"/>
        <v>8333.3333333333339</v>
      </c>
      <c r="AF32" s="96"/>
      <c r="AG32" s="102">
        <f t="shared" si="21"/>
        <v>0</v>
      </c>
      <c r="AH32" s="96">
        <v>5000</v>
      </c>
      <c r="AI32" s="102">
        <f t="shared" si="21"/>
        <v>8.3333333333333329E-2</v>
      </c>
      <c r="AJ32" s="96"/>
      <c r="AK32" s="102">
        <f t="shared" ref="AK32:AM32" si="226">AJ32/$AA32</f>
        <v>0</v>
      </c>
      <c r="AL32" s="96">
        <v>5000</v>
      </c>
      <c r="AM32" s="102">
        <f t="shared" si="226"/>
        <v>8.3333333333333329E-2</v>
      </c>
      <c r="AN32" s="96">
        <v>12500</v>
      </c>
      <c r="AO32" s="102">
        <f t="shared" ref="AO32:AQ32" si="227">AN32/$AA32</f>
        <v>0.20833333333333334</v>
      </c>
      <c r="AP32" s="96"/>
      <c r="AQ32" s="102">
        <f t="shared" si="227"/>
        <v>0</v>
      </c>
      <c r="AR32" s="96">
        <v>4000</v>
      </c>
      <c r="AS32" s="102">
        <f t="shared" ref="AS32" si="228">AR32/$AA32</f>
        <v>6.6666666666666666E-2</v>
      </c>
      <c r="AT32" s="96">
        <v>5000</v>
      </c>
      <c r="AU32" s="102">
        <f t="shared" ref="AU32" si="229">AT32/$AA32</f>
        <v>8.3333333333333329E-2</v>
      </c>
      <c r="AV32" s="96"/>
      <c r="AW32" s="102">
        <f t="shared" ref="AW32:BC32" si="230">AV32/$AA32</f>
        <v>0</v>
      </c>
      <c r="AX32" s="96"/>
      <c r="AY32" s="102">
        <f t="shared" si="230"/>
        <v>0</v>
      </c>
      <c r="AZ32" s="96"/>
      <c r="BA32" s="102">
        <f t="shared" si="230"/>
        <v>0</v>
      </c>
      <c r="BB32" s="96"/>
      <c r="BC32" s="102">
        <f t="shared" si="230"/>
        <v>0</v>
      </c>
      <c r="BD32" s="104">
        <f t="shared" si="224"/>
        <v>31500</v>
      </c>
      <c r="BE32" s="102">
        <f t="shared" ref="BE32" si="231">BD32/$AA32</f>
        <v>0.52500000000000002</v>
      </c>
    </row>
    <row r="33" spans="1:57" x14ac:dyDescent="0.25">
      <c r="A33" s="97" t="s">
        <v>20</v>
      </c>
      <c r="B33" s="94">
        <v>151751</v>
      </c>
      <c r="C33" s="46">
        <v>14629.963333333333</v>
      </c>
      <c r="D33" s="46">
        <f>C33*12</f>
        <v>175559.56</v>
      </c>
      <c r="E33" s="95">
        <f t="shared" si="133"/>
        <v>0.1568922774808732</v>
      </c>
      <c r="F33" s="46">
        <f>576+1343.81</f>
        <v>1919.81</v>
      </c>
      <c r="G33" s="46">
        <v>14583.81</v>
      </c>
      <c r="H33" s="46">
        <f>1013+2459.81</f>
        <v>3472.81</v>
      </c>
      <c r="I33" s="46">
        <f>4826+8501.81</f>
        <v>13327.81</v>
      </c>
      <c r="J33" s="46">
        <f>3660+13460.81</f>
        <v>17120.809999999998</v>
      </c>
      <c r="K33" s="46">
        <f>1457+5100.81</f>
        <v>6557.81</v>
      </c>
      <c r="L33" s="46">
        <f>1664+227.81</f>
        <v>1891.81</v>
      </c>
      <c r="M33" s="76">
        <f t="shared" si="15"/>
        <v>0.12931064534452011</v>
      </c>
      <c r="N33" s="46">
        <f>1514.99+34227.81-24000</f>
        <v>11742.799999999996</v>
      </c>
      <c r="O33" s="76">
        <f t="shared" si="40"/>
        <v>0.80265409642174967</v>
      </c>
      <c r="P33" s="46">
        <f>1412+40227.81-30000</f>
        <v>11639.809999999998</v>
      </c>
      <c r="Q33" s="76">
        <f t="shared" si="16"/>
        <v>0.79561443421252576</v>
      </c>
      <c r="R33" s="46"/>
      <c r="S33" s="46"/>
      <c r="T33" s="46"/>
      <c r="U33" s="76">
        <f t="shared" si="41"/>
        <v>0</v>
      </c>
      <c r="V33" s="46">
        <f t="shared" si="203"/>
        <v>82257.279999999984</v>
      </c>
      <c r="W33" s="76">
        <f t="shared" si="8"/>
        <v>0.46854343904712442</v>
      </c>
      <c r="X33" s="46">
        <f t="shared" si="17"/>
        <v>9139.6977777777756</v>
      </c>
      <c r="Y33" s="96">
        <f t="shared" si="218"/>
        <v>9688.0796444444422</v>
      </c>
      <c r="Z33" s="96">
        <v>1000</v>
      </c>
      <c r="AA33" s="96">
        <f t="shared" si="62"/>
        <v>12000</v>
      </c>
      <c r="AB33" s="81">
        <f t="shared" si="70"/>
        <v>8424.8066666666637</v>
      </c>
      <c r="AC33" t="s">
        <v>188</v>
      </c>
      <c r="AF33" s="96">
        <f>13944+241.48</f>
        <v>14185.48</v>
      </c>
      <c r="AG33" s="102">
        <f t="shared" si="21"/>
        <v>1.1821233333333332</v>
      </c>
      <c r="AH33" s="96">
        <f>1632+241.48</f>
        <v>1873.48</v>
      </c>
      <c r="AI33" s="102">
        <f t="shared" si="21"/>
        <v>0.15612333333333334</v>
      </c>
      <c r="AJ33" s="96">
        <f>6662+241.48</f>
        <v>6903.48</v>
      </c>
      <c r="AK33" s="102">
        <f t="shared" ref="AK33:AM33" si="232">AJ33/$AA33</f>
        <v>0.57528999999999997</v>
      </c>
      <c r="AL33" s="96">
        <f>4477+1041.48</f>
        <v>5518.48</v>
      </c>
      <c r="AM33" s="102">
        <f t="shared" si="232"/>
        <v>0.4598733333333333</v>
      </c>
      <c r="AN33" s="96">
        <f>4561+30241.48</f>
        <v>34802.479999999996</v>
      </c>
      <c r="AO33" s="102">
        <f t="shared" ref="AO33:AQ33" si="233">AN33/$AA33</f>
        <v>2.9002066666666662</v>
      </c>
      <c r="AP33" s="96">
        <f>1853.5+241.48</f>
        <v>2094.98</v>
      </c>
      <c r="AQ33" s="102">
        <f t="shared" si="233"/>
        <v>0.17458166666666666</v>
      </c>
      <c r="AR33" s="96">
        <f>2387+241.48</f>
        <v>2628.48</v>
      </c>
      <c r="AS33" s="102">
        <f t="shared" ref="AS33" si="234">AR33/$AA33</f>
        <v>0.21904000000000001</v>
      </c>
      <c r="AT33" s="96">
        <f>4579.5+241.48</f>
        <v>4820.9799999999996</v>
      </c>
      <c r="AU33" s="102">
        <f t="shared" ref="AU33" si="235">AT33/$AA33</f>
        <v>0.40174833333333332</v>
      </c>
      <c r="AV33" s="96">
        <f>4499+241.48</f>
        <v>4740.4799999999996</v>
      </c>
      <c r="AW33" s="102">
        <f t="shared" ref="AW33:BC33" si="236">AV33/$AA33</f>
        <v>0.39503999999999995</v>
      </c>
      <c r="AX33" s="96"/>
      <c r="AY33" s="102">
        <f t="shared" si="236"/>
        <v>0</v>
      </c>
      <c r="AZ33" s="96"/>
      <c r="BA33" s="102">
        <f t="shared" si="236"/>
        <v>0</v>
      </c>
      <c r="BB33" s="96"/>
      <c r="BC33" s="102">
        <f t="shared" si="236"/>
        <v>0</v>
      </c>
      <c r="BD33" s="104">
        <f t="shared" si="224"/>
        <v>77568.319999999992</v>
      </c>
      <c r="BE33" s="102">
        <f t="shared" ref="BE33" si="237">BD33/$AA33</f>
        <v>6.4640266666666664</v>
      </c>
    </row>
    <row r="34" spans="1:57" x14ac:dyDescent="0.25">
      <c r="A34" s="97" t="s">
        <v>23</v>
      </c>
      <c r="B34" s="94"/>
      <c r="C34" s="46"/>
      <c r="D34" s="46"/>
      <c r="E34" s="95"/>
      <c r="F34" s="46"/>
      <c r="G34" s="46"/>
      <c r="H34" s="46"/>
      <c r="I34" s="46"/>
      <c r="J34" s="46"/>
      <c r="K34" s="46"/>
      <c r="L34" s="46">
        <v>37000</v>
      </c>
      <c r="M34" s="76"/>
      <c r="N34" s="46"/>
      <c r="O34" s="76" t="e">
        <f t="shared" si="40"/>
        <v>#DIV/0!</v>
      </c>
      <c r="P34" s="46"/>
      <c r="Q34" s="76" t="e">
        <f t="shared" si="16"/>
        <v>#DIV/0!</v>
      </c>
      <c r="R34" s="46"/>
      <c r="S34" s="46"/>
      <c r="T34" s="46"/>
      <c r="U34" s="76"/>
      <c r="V34" s="46">
        <f t="shared" si="203"/>
        <v>37000</v>
      </c>
      <c r="W34" s="76"/>
      <c r="X34" s="46">
        <f t="shared" si="17"/>
        <v>4111.1111111111113</v>
      </c>
      <c r="Y34" s="96">
        <f t="shared" si="218"/>
        <v>4357.7777777777783</v>
      </c>
      <c r="Z34" s="96">
        <v>0</v>
      </c>
      <c r="AA34" s="96">
        <f t="shared" si="62"/>
        <v>0</v>
      </c>
      <c r="AB34" s="81">
        <f t="shared" si="70"/>
        <v>12333.333333333334</v>
      </c>
      <c r="AF34" s="96"/>
      <c r="AG34" s="102"/>
      <c r="AH34" s="96"/>
      <c r="AI34" s="102"/>
      <c r="AJ34" s="96"/>
      <c r="AK34" s="102"/>
      <c r="AL34" s="96"/>
      <c r="AM34" s="102"/>
      <c r="AN34" s="96"/>
      <c r="AO34" s="102"/>
      <c r="AP34" s="96">
        <v>6829</v>
      </c>
      <c r="AQ34" s="102"/>
      <c r="AR34" s="96"/>
      <c r="AS34" s="102"/>
      <c r="AT34" s="96"/>
      <c r="AU34" s="102"/>
      <c r="AV34" s="96"/>
      <c r="AW34" s="102"/>
      <c r="AX34" s="96"/>
      <c r="AY34" s="102"/>
      <c r="AZ34" s="96"/>
      <c r="BA34" s="102"/>
      <c r="BB34" s="96"/>
      <c r="BC34" s="102"/>
      <c r="BD34" s="104"/>
      <c r="BE34" s="102"/>
    </row>
    <row r="35" spans="1:57" x14ac:dyDescent="0.25">
      <c r="A35" s="50" t="s">
        <v>25</v>
      </c>
      <c r="B35" s="51">
        <v>319400</v>
      </c>
      <c r="C35" s="40">
        <v>20916.666666666664</v>
      </c>
      <c r="D35" s="40">
        <f>SUM(D36:D41)</f>
        <v>251000</v>
      </c>
      <c r="E35" s="35">
        <f t="shared" ref="E35:E47" si="238">IFERROR((D35/B35)-1,0)</f>
        <v>-0.21415153412648713</v>
      </c>
      <c r="F35" s="40">
        <f>SUM(F36:F41)</f>
        <v>0</v>
      </c>
      <c r="G35" s="40">
        <f t="shared" ref="G35:V35" si="239">SUM(G36:G41)</f>
        <v>71951</v>
      </c>
      <c r="H35" s="40">
        <f t="shared" si="239"/>
        <v>31110.97</v>
      </c>
      <c r="I35" s="40">
        <f t="shared" si="239"/>
        <v>45624.959999999999</v>
      </c>
      <c r="J35" s="40">
        <f t="shared" si="239"/>
        <v>36870</v>
      </c>
      <c r="K35" s="40">
        <f t="shared" si="239"/>
        <v>37680</v>
      </c>
      <c r="L35" s="40">
        <f t="shared" si="239"/>
        <v>27800</v>
      </c>
      <c r="M35" s="73">
        <f t="shared" si="15"/>
        <v>1.3290836653386455</v>
      </c>
      <c r="N35" s="40">
        <f t="shared" si="239"/>
        <v>40500</v>
      </c>
      <c r="O35" s="73">
        <f t="shared" si="40"/>
        <v>1.9362549800796816</v>
      </c>
      <c r="P35" s="40">
        <f t="shared" si="239"/>
        <v>70094.97</v>
      </c>
      <c r="Q35" s="73">
        <f t="shared" si="16"/>
        <v>3.3511539442231082</v>
      </c>
      <c r="R35" s="40">
        <f t="shared" si="239"/>
        <v>0</v>
      </c>
      <c r="S35" s="40">
        <f t="shared" si="239"/>
        <v>0</v>
      </c>
      <c r="T35" s="40">
        <f t="shared" si="239"/>
        <v>0</v>
      </c>
      <c r="U35" s="73">
        <f t="shared" ref="U35:U45" si="240">T35/I35</f>
        <v>0</v>
      </c>
      <c r="V35" s="40">
        <f t="shared" si="239"/>
        <v>361631.9</v>
      </c>
      <c r="W35" s="73">
        <f t="shared" si="8"/>
        <v>1.4407645418326693</v>
      </c>
      <c r="X35" s="40">
        <f t="shared" si="17"/>
        <v>40181.322222222225</v>
      </c>
      <c r="Y35" s="40">
        <f t="shared" ref="Y35" si="241">SUM(Y36:Y41)</f>
        <v>42592.201555555555</v>
      </c>
      <c r="Z35" s="40">
        <v>44199.454444444447</v>
      </c>
      <c r="AA35" s="40">
        <f t="shared" ref="AA35" si="242">SUM(AA36:AA41)</f>
        <v>530393.45333333337</v>
      </c>
      <c r="AB35" s="81">
        <f t="shared" si="70"/>
        <v>46131.656666666669</v>
      </c>
      <c r="AF35" s="40">
        <f t="shared" ref="AF35" si="243">SUM(AF36:AF41)</f>
        <v>2500</v>
      </c>
      <c r="AG35" s="73">
        <f t="shared" si="21"/>
        <v>4.713482009041388E-3</v>
      </c>
      <c r="AH35" s="40">
        <f t="shared" ref="AH35:AJ35" si="244">SUM(AH36:AH41)</f>
        <v>34297.83</v>
      </c>
      <c r="AI35" s="73">
        <f t="shared" si="21"/>
        <v>6.4664881861663998E-2</v>
      </c>
      <c r="AJ35" s="40">
        <f t="shared" si="244"/>
        <v>41163</v>
      </c>
      <c r="AK35" s="73">
        <f t="shared" ref="AK35:AM35" si="245">AJ35/$AA35</f>
        <v>7.7608423975268265E-2</v>
      </c>
      <c r="AL35" s="40">
        <f t="shared" ref="AL35" si="246">SUM(AL36:AL41)</f>
        <v>36183.769999999997</v>
      </c>
      <c r="AM35" s="73">
        <f t="shared" si="245"/>
        <v>6.8220619565716595E-2</v>
      </c>
      <c r="AN35" s="40">
        <f t="shared" ref="AN35" si="247">SUM(AN36:AN41)</f>
        <v>38603.68</v>
      </c>
      <c r="AO35" s="73">
        <f t="shared" ref="AO35:AQ35" si="248">AN35/$AA35</f>
        <v>7.2783100465116352E-2</v>
      </c>
      <c r="AP35" s="40">
        <f t="shared" ref="AP35" si="249">SUM(AP36:AP41)</f>
        <v>38902.6</v>
      </c>
      <c r="AQ35" s="73">
        <f t="shared" si="248"/>
        <v>7.3346682081973397E-2</v>
      </c>
      <c r="AR35" s="40">
        <f t="shared" ref="AR35" si="250">SUM(AR36:AR41)</f>
        <v>39390.25</v>
      </c>
      <c r="AS35" s="73">
        <f t="shared" ref="AS35" si="251">AR35/$AA35</f>
        <v>7.4266093882657022E-2</v>
      </c>
      <c r="AT35" s="40">
        <f t="shared" ref="AT35" si="252">SUM(AT36:AT41)</f>
        <v>33417.599999999999</v>
      </c>
      <c r="AU35" s="73">
        <f t="shared" ref="AU35" si="253">AT35/$AA35</f>
        <v>6.3005302554136597E-2</v>
      </c>
      <c r="AV35" s="40">
        <f t="shared" ref="AV35" si="254">SUM(AV36:AV41)</f>
        <v>35253</v>
      </c>
      <c r="AW35" s="73">
        <f t="shared" ref="AW35:BC35" si="255">AV35/$AA35</f>
        <v>6.6465752505894427E-2</v>
      </c>
      <c r="AX35" s="40">
        <f t="shared" ref="AX35" si="256">SUM(AX36:AX41)</f>
        <v>0</v>
      </c>
      <c r="AY35" s="73">
        <f t="shared" si="255"/>
        <v>0</v>
      </c>
      <c r="AZ35" s="40">
        <f t="shared" ref="AZ35" si="257">SUM(AZ36:AZ41)</f>
        <v>0</v>
      </c>
      <c r="BA35" s="73">
        <f t="shared" si="255"/>
        <v>0</v>
      </c>
      <c r="BB35" s="40">
        <f t="shared" ref="BB35" si="258">SUM(BB36:BB41)</f>
        <v>0</v>
      </c>
      <c r="BC35" s="73">
        <f t="shared" si="255"/>
        <v>0</v>
      </c>
      <c r="BD35" s="40">
        <f t="shared" ref="BD35" si="259">SUM(BD36:BD41)</f>
        <v>299711.73</v>
      </c>
      <c r="BE35" s="73">
        <f t="shared" ref="BE35" si="260">BD35/$AA35</f>
        <v>0.56507433890146797</v>
      </c>
    </row>
    <row r="36" spans="1:57" x14ac:dyDescent="0.25">
      <c r="A36" s="18" t="s">
        <v>105</v>
      </c>
      <c r="B36" s="45">
        <v>20000</v>
      </c>
      <c r="C36" s="38">
        <v>2500</v>
      </c>
      <c r="D36" s="38">
        <v>30000</v>
      </c>
      <c r="E36" s="35">
        <f t="shared" si="238"/>
        <v>0.5</v>
      </c>
      <c r="F36" s="38">
        <v>0</v>
      </c>
      <c r="G36" s="38">
        <v>48861</v>
      </c>
      <c r="H36" s="38">
        <v>450</v>
      </c>
      <c r="I36" s="38">
        <v>13150</v>
      </c>
      <c r="J36" s="38">
        <v>1200</v>
      </c>
      <c r="K36" s="38">
        <v>1350</v>
      </c>
      <c r="L36" s="38">
        <v>1350</v>
      </c>
      <c r="M36" s="75">
        <f t="shared" si="15"/>
        <v>0.54</v>
      </c>
      <c r="N36" s="38">
        <v>1800</v>
      </c>
      <c r="O36" s="75">
        <f t="shared" si="40"/>
        <v>0.72</v>
      </c>
      <c r="P36" s="38">
        <v>1250</v>
      </c>
      <c r="Q36" s="75">
        <f t="shared" si="16"/>
        <v>0.5</v>
      </c>
      <c r="R36" s="38"/>
      <c r="S36" s="38"/>
      <c r="T36" s="38"/>
      <c r="U36" s="75">
        <f t="shared" si="240"/>
        <v>0</v>
      </c>
      <c r="V36" s="38">
        <f t="shared" ref="V36:V41" si="261">T36+S36+R36+P36+N36+L36+K36+J36+I36+H36+G36+F36</f>
        <v>69411</v>
      </c>
      <c r="W36" s="75">
        <f t="shared" si="8"/>
        <v>2.3136999999999999</v>
      </c>
      <c r="X36" s="38">
        <f t="shared" si="17"/>
        <v>7712.333333333333</v>
      </c>
      <c r="Y36" s="83">
        <f t="shared" ref="Y36:Y41" si="262">X36+(X36*$Y$2)</f>
        <v>8175.0733333333328</v>
      </c>
      <c r="Z36" s="83">
        <v>8483.5666666666657</v>
      </c>
      <c r="AA36" s="83">
        <f t="shared" si="62"/>
        <v>101802.79999999999</v>
      </c>
      <c r="AB36" s="81">
        <f t="shared" si="70"/>
        <v>1466.6666666666667</v>
      </c>
      <c r="AC36" t="s">
        <v>189</v>
      </c>
      <c r="AF36" s="83"/>
      <c r="AG36" s="103">
        <f t="shared" si="21"/>
        <v>0</v>
      </c>
      <c r="AH36" s="96">
        <v>2638</v>
      </c>
      <c r="AI36" s="103">
        <f t="shared" si="21"/>
        <v>2.5912843261678465E-2</v>
      </c>
      <c r="AJ36" s="83">
        <v>801</v>
      </c>
      <c r="AK36" s="103">
        <f t="shared" ref="AK36:AM36" si="263">AJ36/$AA36</f>
        <v>7.868152938818972E-3</v>
      </c>
      <c r="AL36" s="83">
        <v>2400</v>
      </c>
      <c r="AM36" s="103">
        <f t="shared" si="263"/>
        <v>2.3574990078858344E-2</v>
      </c>
      <c r="AN36" s="83"/>
      <c r="AO36" s="103">
        <f t="shared" ref="AO36:AQ36" si="264">AN36/$AA36</f>
        <v>0</v>
      </c>
      <c r="AP36" s="83">
        <v>159</v>
      </c>
      <c r="AQ36" s="103">
        <f t="shared" si="264"/>
        <v>1.5618430927243653E-3</v>
      </c>
      <c r="AR36" s="83">
        <v>2166.65</v>
      </c>
      <c r="AS36" s="103">
        <f t="shared" ref="AS36" si="265">AR36/$AA36</f>
        <v>2.1282813439316015E-2</v>
      </c>
      <c r="AT36" s="83">
        <v>1159</v>
      </c>
      <c r="AU36" s="103">
        <f t="shared" ref="AU36" si="266">AT36/$AA36</f>
        <v>1.138475562558201E-2</v>
      </c>
      <c r="AV36" s="83">
        <v>159</v>
      </c>
      <c r="AW36" s="103">
        <f t="shared" ref="AW36:BC36" si="267">AV36/$AA36</f>
        <v>1.5618430927243653E-3</v>
      </c>
      <c r="AX36" s="83"/>
      <c r="AY36" s="103">
        <f t="shared" si="267"/>
        <v>0</v>
      </c>
      <c r="AZ36" s="83"/>
      <c r="BA36" s="103">
        <f t="shared" si="267"/>
        <v>0</v>
      </c>
      <c r="BB36" s="83"/>
      <c r="BC36" s="103">
        <f t="shared" si="267"/>
        <v>0</v>
      </c>
      <c r="BD36" s="104">
        <f t="shared" ref="BD36:BD41" si="268">AF36+AH36+AJ36+AL36+AN36+AP36+AR36+AT36+AV36+AX36+AZ36+BB36</f>
        <v>9482.65</v>
      </c>
      <c r="BE36" s="103">
        <f t="shared" ref="BE36" si="269">BD36/$AA36</f>
        <v>9.3147241529702524E-2</v>
      </c>
    </row>
    <row r="37" spans="1:57" x14ac:dyDescent="0.25">
      <c r="A37" s="18" t="s">
        <v>147</v>
      </c>
      <c r="B37" s="45">
        <v>25000</v>
      </c>
      <c r="C37" s="38">
        <v>1250</v>
      </c>
      <c r="D37" s="38">
        <v>15000</v>
      </c>
      <c r="E37" s="35">
        <f t="shared" si="238"/>
        <v>-0.4</v>
      </c>
      <c r="F37" s="38">
        <v>0</v>
      </c>
      <c r="G37" s="38"/>
      <c r="H37" s="38">
        <v>4900.97</v>
      </c>
      <c r="I37" s="38">
        <v>6350</v>
      </c>
      <c r="J37" s="38">
        <v>9150</v>
      </c>
      <c r="K37" s="38">
        <v>10820</v>
      </c>
      <c r="L37" s="38"/>
      <c r="M37" s="75">
        <f t="shared" si="15"/>
        <v>0</v>
      </c>
      <c r="N37" s="38">
        <v>8180</v>
      </c>
      <c r="O37" s="75">
        <f t="shared" si="40"/>
        <v>6.5439999999999996</v>
      </c>
      <c r="P37" s="38">
        <v>820</v>
      </c>
      <c r="Q37" s="75">
        <f t="shared" si="16"/>
        <v>0.65600000000000003</v>
      </c>
      <c r="R37" s="38"/>
      <c r="S37" s="38"/>
      <c r="T37" s="38"/>
      <c r="U37" s="75">
        <f t="shared" si="240"/>
        <v>0</v>
      </c>
      <c r="V37" s="38">
        <f t="shared" si="261"/>
        <v>40220.97</v>
      </c>
      <c r="W37" s="75">
        <f t="shared" si="8"/>
        <v>2.6813980000000002</v>
      </c>
      <c r="X37" s="38">
        <f t="shared" si="17"/>
        <v>4468.9966666666669</v>
      </c>
      <c r="Y37" s="83">
        <f t="shared" si="262"/>
        <v>4737.1364666666668</v>
      </c>
      <c r="Z37" s="83">
        <v>4915.896333333334</v>
      </c>
      <c r="AA37" s="83">
        <f t="shared" si="62"/>
        <v>58990.756000000008</v>
      </c>
      <c r="AB37" s="81">
        <f t="shared" si="70"/>
        <v>3000</v>
      </c>
      <c r="AC37" t="s">
        <v>190</v>
      </c>
      <c r="AF37" s="96"/>
      <c r="AG37" s="103">
        <f t="shared" si="21"/>
        <v>0</v>
      </c>
      <c r="AH37" s="96"/>
      <c r="AI37" s="103">
        <f t="shared" si="21"/>
        <v>0</v>
      </c>
      <c r="AJ37" s="83">
        <v>5180</v>
      </c>
      <c r="AK37" s="103">
        <f t="shared" ref="AK37:AM37" si="270">AJ37/$AA37</f>
        <v>8.7810368119371096E-2</v>
      </c>
      <c r="AL37" s="83"/>
      <c r="AM37" s="103">
        <f t="shared" si="270"/>
        <v>0</v>
      </c>
      <c r="AN37" s="83">
        <v>4160.08</v>
      </c>
      <c r="AO37" s="103">
        <f t="shared" ref="AO37:AQ37" si="271">AN37/$AA37</f>
        <v>7.0520879576454309E-2</v>
      </c>
      <c r="AP37" s="83">
        <v>3300</v>
      </c>
      <c r="AQ37" s="103">
        <f t="shared" si="271"/>
        <v>5.5940968106935253E-2</v>
      </c>
      <c r="AR37" s="83">
        <v>330</v>
      </c>
      <c r="AS37" s="103">
        <f t="shared" ref="AS37" si="272">AR37/$AA37</f>
        <v>5.5940968106935251E-3</v>
      </c>
      <c r="AT37" s="83"/>
      <c r="AU37" s="103">
        <f t="shared" ref="AU37" si="273">AT37/$AA37</f>
        <v>0</v>
      </c>
      <c r="AV37" s="83"/>
      <c r="AW37" s="103">
        <f t="shared" ref="AW37:BC37" si="274">AV37/$AA37</f>
        <v>0</v>
      </c>
      <c r="AX37" s="83"/>
      <c r="AY37" s="103">
        <f t="shared" si="274"/>
        <v>0</v>
      </c>
      <c r="AZ37" s="83"/>
      <c r="BA37" s="103">
        <f t="shared" si="274"/>
        <v>0</v>
      </c>
      <c r="BB37" s="83"/>
      <c r="BC37" s="103">
        <f t="shared" si="274"/>
        <v>0</v>
      </c>
      <c r="BD37" s="104">
        <f t="shared" si="268"/>
        <v>12970.08</v>
      </c>
      <c r="BE37" s="103">
        <f t="shared" ref="BE37" si="275">BD37/$AA37</f>
        <v>0.21986631261345418</v>
      </c>
    </row>
    <row r="38" spans="1:57" x14ac:dyDescent="0.25">
      <c r="A38" s="18" t="s">
        <v>103</v>
      </c>
      <c r="B38" s="45">
        <v>0</v>
      </c>
      <c r="C38" s="38">
        <v>1666.6666666666667</v>
      </c>
      <c r="D38" s="38">
        <v>20000</v>
      </c>
      <c r="E38" s="35">
        <f t="shared" si="238"/>
        <v>0</v>
      </c>
      <c r="F38" s="38">
        <v>0</v>
      </c>
      <c r="G38" s="38"/>
      <c r="H38" s="38"/>
      <c r="I38" s="38"/>
      <c r="J38" s="38"/>
      <c r="K38" s="38"/>
      <c r="L38" s="38"/>
      <c r="M38" s="75">
        <f t="shared" si="15"/>
        <v>0</v>
      </c>
      <c r="N38" s="38"/>
      <c r="O38" s="75">
        <f t="shared" si="40"/>
        <v>0</v>
      </c>
      <c r="P38" s="38">
        <v>32820</v>
      </c>
      <c r="Q38" s="75">
        <f t="shared" si="16"/>
        <v>19.692</v>
      </c>
      <c r="R38" s="38"/>
      <c r="S38" s="38"/>
      <c r="T38" s="38"/>
      <c r="U38" s="75" t="e">
        <f t="shared" si="240"/>
        <v>#DIV/0!</v>
      </c>
      <c r="V38" s="38">
        <f t="shared" si="261"/>
        <v>32820</v>
      </c>
      <c r="W38" s="75">
        <f t="shared" si="8"/>
        <v>1.641</v>
      </c>
      <c r="X38" s="38">
        <f t="shared" si="17"/>
        <v>3646.6666666666665</v>
      </c>
      <c r="Y38" s="83">
        <f t="shared" si="262"/>
        <v>3865.4666666666667</v>
      </c>
      <c r="Z38" s="83">
        <v>4011.333333333333</v>
      </c>
      <c r="AA38" s="83">
        <f t="shared" si="62"/>
        <v>48136</v>
      </c>
      <c r="AB38" s="81">
        <f t="shared" si="70"/>
        <v>10940</v>
      </c>
      <c r="AC38" t="s">
        <v>191</v>
      </c>
      <c r="AF38" s="96"/>
      <c r="AG38" s="103">
        <f t="shared" si="21"/>
        <v>0</v>
      </c>
      <c r="AH38" s="96"/>
      <c r="AI38" s="103">
        <f t="shared" si="21"/>
        <v>0</v>
      </c>
      <c r="AJ38" s="83"/>
      <c r="AK38" s="103">
        <f t="shared" ref="AK38:AM38" si="276">AJ38/$AA38</f>
        <v>0</v>
      </c>
      <c r="AL38" s="83"/>
      <c r="AM38" s="103">
        <f t="shared" si="276"/>
        <v>0</v>
      </c>
      <c r="AN38" s="83"/>
      <c r="AO38" s="103">
        <f t="shared" ref="AO38:AQ38" si="277">AN38/$AA38</f>
        <v>0</v>
      </c>
      <c r="AP38" s="83"/>
      <c r="AQ38" s="103">
        <f t="shared" si="277"/>
        <v>0</v>
      </c>
      <c r="AR38" s="83"/>
      <c r="AS38" s="103">
        <f t="shared" ref="AS38" si="278">AR38/$AA38</f>
        <v>0</v>
      </c>
      <c r="AT38" s="83"/>
      <c r="AU38" s="103">
        <f t="shared" ref="AU38" si="279">AT38/$AA38</f>
        <v>0</v>
      </c>
      <c r="AV38" s="83"/>
      <c r="AW38" s="103">
        <f t="shared" ref="AW38:BC38" si="280">AV38/$AA38</f>
        <v>0</v>
      </c>
      <c r="AX38" s="83"/>
      <c r="AY38" s="103">
        <f t="shared" si="280"/>
        <v>0</v>
      </c>
      <c r="AZ38" s="83"/>
      <c r="BA38" s="103">
        <f t="shared" si="280"/>
        <v>0</v>
      </c>
      <c r="BB38" s="83"/>
      <c r="BC38" s="103">
        <f t="shared" si="280"/>
        <v>0</v>
      </c>
      <c r="BD38" s="104">
        <f t="shared" si="268"/>
        <v>0</v>
      </c>
      <c r="BE38" s="103">
        <f t="shared" ref="BE38" si="281">BD38/$AA38</f>
        <v>0</v>
      </c>
    </row>
    <row r="39" spans="1:57" x14ac:dyDescent="0.25">
      <c r="A39" s="18" t="s">
        <v>114</v>
      </c>
      <c r="B39" s="45">
        <v>0</v>
      </c>
      <c r="C39" s="38">
        <v>0</v>
      </c>
      <c r="D39" s="38">
        <v>0</v>
      </c>
      <c r="E39" s="35">
        <f t="shared" si="238"/>
        <v>0</v>
      </c>
      <c r="F39" s="38">
        <v>0</v>
      </c>
      <c r="G39" s="38"/>
      <c r="H39" s="38"/>
      <c r="I39" s="38"/>
      <c r="J39" s="38"/>
      <c r="K39" s="38"/>
      <c r="L39" s="38"/>
      <c r="M39" s="75" t="e">
        <f t="shared" si="15"/>
        <v>#DIV/0!</v>
      </c>
      <c r="N39" s="38"/>
      <c r="O39" s="75" t="e">
        <f t="shared" si="40"/>
        <v>#DIV/0!</v>
      </c>
      <c r="P39" s="38"/>
      <c r="Q39" s="75" t="e">
        <f t="shared" si="16"/>
        <v>#DIV/0!</v>
      </c>
      <c r="R39" s="38"/>
      <c r="S39" s="38"/>
      <c r="T39" s="38"/>
      <c r="U39" s="75" t="e">
        <f t="shared" si="240"/>
        <v>#DIV/0!</v>
      </c>
      <c r="V39" s="38">
        <f t="shared" si="261"/>
        <v>0</v>
      </c>
      <c r="W39" s="75" t="e">
        <f t="shared" si="8"/>
        <v>#DIV/0!</v>
      </c>
      <c r="X39" s="38">
        <f t="shared" si="17"/>
        <v>0</v>
      </c>
      <c r="Y39" s="83">
        <f t="shared" si="262"/>
        <v>0</v>
      </c>
      <c r="Z39" s="83">
        <v>0</v>
      </c>
      <c r="AA39" s="83">
        <f t="shared" si="62"/>
        <v>0</v>
      </c>
      <c r="AB39" s="81">
        <f t="shared" si="70"/>
        <v>0</v>
      </c>
      <c r="AF39" s="96"/>
      <c r="AG39" s="103"/>
      <c r="AH39" s="96"/>
      <c r="AI39" s="103"/>
      <c r="AJ39" s="83"/>
      <c r="AK39" s="103"/>
      <c r="AL39" s="83"/>
      <c r="AM39" s="103"/>
      <c r="AN39" s="83"/>
      <c r="AO39" s="103"/>
      <c r="AP39" s="83"/>
      <c r="AQ39" s="103"/>
      <c r="AR39" s="83"/>
      <c r="AS39" s="103"/>
      <c r="AT39" s="83"/>
      <c r="AU39" s="103"/>
      <c r="AV39" s="83"/>
      <c r="AW39" s="103"/>
      <c r="AX39" s="83"/>
      <c r="AY39" s="103"/>
      <c r="AZ39" s="83"/>
      <c r="BA39" s="103"/>
      <c r="BB39" s="83"/>
      <c r="BC39" s="103"/>
      <c r="BD39" s="104">
        <f t="shared" si="268"/>
        <v>0</v>
      </c>
      <c r="BE39" s="103"/>
    </row>
    <row r="40" spans="1:57" x14ac:dyDescent="0.25">
      <c r="A40" s="18" t="s">
        <v>166</v>
      </c>
      <c r="B40" s="45">
        <v>11000</v>
      </c>
      <c r="C40" s="38">
        <v>833.33333333333337</v>
      </c>
      <c r="D40" s="38">
        <v>10000</v>
      </c>
      <c r="E40" s="35">
        <f t="shared" si="238"/>
        <v>-9.0909090909090939E-2</v>
      </c>
      <c r="F40" s="38">
        <v>0</v>
      </c>
      <c r="G40" s="38"/>
      <c r="H40" s="38"/>
      <c r="I40" s="38"/>
      <c r="J40" s="38"/>
      <c r="K40" s="38"/>
      <c r="L40" s="38"/>
      <c r="M40" s="75">
        <f t="shared" si="15"/>
        <v>0</v>
      </c>
      <c r="N40" s="38"/>
      <c r="O40" s="75">
        <f t="shared" si="40"/>
        <v>0</v>
      </c>
      <c r="P40" s="38"/>
      <c r="Q40" s="75">
        <f t="shared" si="16"/>
        <v>0</v>
      </c>
      <c r="R40" s="38"/>
      <c r="S40" s="38"/>
      <c r="T40" s="38"/>
      <c r="U40" s="75" t="e">
        <f t="shared" si="240"/>
        <v>#DIV/0!</v>
      </c>
      <c r="V40" s="38">
        <f t="shared" si="261"/>
        <v>0</v>
      </c>
      <c r="W40" s="75">
        <f t="shared" si="8"/>
        <v>0</v>
      </c>
      <c r="X40" s="38">
        <f t="shared" si="17"/>
        <v>0</v>
      </c>
      <c r="Y40" s="83">
        <f t="shared" si="262"/>
        <v>0</v>
      </c>
      <c r="Z40" s="83">
        <v>0</v>
      </c>
      <c r="AA40" s="83">
        <f t="shared" si="62"/>
        <v>0</v>
      </c>
      <c r="AB40" s="81">
        <f t="shared" si="70"/>
        <v>0</v>
      </c>
      <c r="AF40" s="96"/>
      <c r="AG40" s="103"/>
      <c r="AH40" s="96"/>
      <c r="AI40" s="103"/>
      <c r="AJ40" s="83"/>
      <c r="AK40" s="103"/>
      <c r="AL40" s="83"/>
      <c r="AM40" s="103"/>
      <c r="AN40" s="83"/>
      <c r="AO40" s="103"/>
      <c r="AP40" s="83"/>
      <c r="AQ40" s="103"/>
      <c r="AR40" s="83"/>
      <c r="AS40" s="103"/>
      <c r="AT40" s="83"/>
      <c r="AU40" s="103"/>
      <c r="AV40" s="83"/>
      <c r="AW40" s="103"/>
      <c r="AX40" s="83"/>
      <c r="AY40" s="103"/>
      <c r="AZ40" s="83"/>
      <c r="BA40" s="103"/>
      <c r="BB40" s="83"/>
      <c r="BC40" s="103"/>
      <c r="BD40" s="104">
        <f t="shared" si="268"/>
        <v>0</v>
      </c>
      <c r="BE40" s="103"/>
    </row>
    <row r="41" spans="1:57" x14ac:dyDescent="0.25">
      <c r="A41" s="36" t="s">
        <v>178</v>
      </c>
      <c r="B41" s="45">
        <v>263400</v>
      </c>
      <c r="C41" s="38">
        <v>14666.666666666666</v>
      </c>
      <c r="D41" s="38">
        <v>176000</v>
      </c>
      <c r="E41" s="35">
        <f t="shared" si="238"/>
        <v>-0.33181473044798782</v>
      </c>
      <c r="F41" s="38">
        <v>0</v>
      </c>
      <c r="G41" s="38">
        <v>23090</v>
      </c>
      <c r="H41" s="38">
        <v>25760</v>
      </c>
      <c r="I41" s="38">
        <v>26124.959999999999</v>
      </c>
      <c r="J41" s="38">
        <v>26520</v>
      </c>
      <c r="K41" s="38">
        <v>25510</v>
      </c>
      <c r="L41" s="38">
        <v>26450</v>
      </c>
      <c r="M41" s="75">
        <f t="shared" si="15"/>
        <v>1.803409090909091</v>
      </c>
      <c r="N41" s="38">
        <v>30520</v>
      </c>
      <c r="O41" s="75">
        <f t="shared" si="40"/>
        <v>2.080909090909091</v>
      </c>
      <c r="P41" s="38">
        <v>35204.97</v>
      </c>
      <c r="Q41" s="75">
        <f t="shared" si="16"/>
        <v>2.4003388636363638</v>
      </c>
      <c r="R41" s="38"/>
      <c r="S41" s="38"/>
      <c r="T41" s="38"/>
      <c r="U41" s="75">
        <f t="shared" si="240"/>
        <v>0</v>
      </c>
      <c r="V41" s="38">
        <f t="shared" si="261"/>
        <v>219179.93</v>
      </c>
      <c r="W41" s="75">
        <f t="shared" si="8"/>
        <v>1.2453405113636362</v>
      </c>
      <c r="X41" s="38">
        <f t="shared" si="17"/>
        <v>24353.325555555555</v>
      </c>
      <c r="Y41" s="83">
        <f t="shared" si="262"/>
        <v>25814.525088888888</v>
      </c>
      <c r="Z41" s="83">
        <v>26788.658111111112</v>
      </c>
      <c r="AA41" s="83">
        <f t="shared" si="62"/>
        <v>321463.89733333333</v>
      </c>
      <c r="AB41" s="81">
        <f t="shared" si="70"/>
        <v>30724.99</v>
      </c>
      <c r="AF41" s="96">
        <v>2500</v>
      </c>
      <c r="AG41" s="103">
        <f t="shared" si="21"/>
        <v>7.7769230720415626E-3</v>
      </c>
      <c r="AH41" s="96">
        <v>31659.83</v>
      </c>
      <c r="AI41" s="103">
        <f t="shared" si="21"/>
        <v>9.8486424953565452E-2</v>
      </c>
      <c r="AJ41" s="83">
        <v>35182</v>
      </c>
      <c r="AK41" s="103">
        <f t="shared" ref="AK41:AM41" si="282">AJ41/$AA41</f>
        <v>0.1094430830082265</v>
      </c>
      <c r="AL41" s="83">
        <v>33783.769999999997</v>
      </c>
      <c r="AM41" s="103">
        <f t="shared" si="282"/>
        <v>0.10509351214941821</v>
      </c>
      <c r="AN41" s="83">
        <v>34443.599999999999</v>
      </c>
      <c r="AO41" s="103">
        <f t="shared" ref="AO41:AQ41" si="283">AN41/$AA41</f>
        <v>0.10714609100966829</v>
      </c>
      <c r="AP41" s="83">
        <v>35443.599999999999</v>
      </c>
      <c r="AQ41" s="103">
        <f t="shared" si="283"/>
        <v>0.11025686023848492</v>
      </c>
      <c r="AR41" s="83">
        <v>36893.599999999999</v>
      </c>
      <c r="AS41" s="103">
        <f t="shared" ref="AS41" si="284">AR41/$AA41</f>
        <v>0.11476747562026902</v>
      </c>
      <c r="AT41" s="83">
        <v>32258.6</v>
      </c>
      <c r="AU41" s="103">
        <f t="shared" ref="AU41" si="285">AT41/$AA41</f>
        <v>0.10034906024470397</v>
      </c>
      <c r="AV41" s="83">
        <v>35094</v>
      </c>
      <c r="AW41" s="103">
        <f t="shared" ref="AW41:BC41" si="286">AV41/$AA41</f>
        <v>0.10916933531609063</v>
      </c>
      <c r="AX41" s="83"/>
      <c r="AY41" s="103">
        <f t="shared" si="286"/>
        <v>0</v>
      </c>
      <c r="AZ41" s="83"/>
      <c r="BA41" s="103">
        <f t="shared" si="286"/>
        <v>0</v>
      </c>
      <c r="BB41" s="83"/>
      <c r="BC41" s="103">
        <f t="shared" si="286"/>
        <v>0</v>
      </c>
      <c r="BD41" s="104">
        <f t="shared" si="268"/>
        <v>277259</v>
      </c>
      <c r="BE41" s="103">
        <f t="shared" ref="BE41" si="287">BD41/$AA41</f>
        <v>0.86248876561246857</v>
      </c>
    </row>
    <row r="42" spans="1:57" x14ac:dyDescent="0.25">
      <c r="A42" s="50" t="s">
        <v>152</v>
      </c>
      <c r="B42" s="51">
        <v>62980.729999999996</v>
      </c>
      <c r="C42" s="40">
        <v>6666.6666666666661</v>
      </c>
      <c r="D42" s="40">
        <f>SUM(D43:D46)</f>
        <v>80000</v>
      </c>
      <c r="E42" s="35">
        <f t="shared" si="238"/>
        <v>0.2702297988606992</v>
      </c>
      <c r="F42" s="40">
        <f t="shared" ref="F42:L42" si="288">SUM(F43:F46)</f>
        <v>0</v>
      </c>
      <c r="G42" s="40">
        <f t="shared" si="288"/>
        <v>0</v>
      </c>
      <c r="H42" s="40">
        <f t="shared" si="288"/>
        <v>0</v>
      </c>
      <c r="I42" s="40">
        <f t="shared" si="288"/>
        <v>24643.4</v>
      </c>
      <c r="J42" s="40">
        <f t="shared" si="288"/>
        <v>1440</v>
      </c>
      <c r="K42" s="40">
        <f t="shared" si="288"/>
        <v>65820</v>
      </c>
      <c r="L42" s="40">
        <f t="shared" si="288"/>
        <v>0</v>
      </c>
      <c r="M42" s="73">
        <f t="shared" si="15"/>
        <v>0</v>
      </c>
      <c r="N42" s="40">
        <f>SUM(N43:N46)</f>
        <v>0</v>
      </c>
      <c r="O42" s="73">
        <f t="shared" si="40"/>
        <v>0</v>
      </c>
      <c r="P42" s="40">
        <f>SUM(P43:P46)</f>
        <v>0</v>
      </c>
      <c r="Q42" s="73">
        <f t="shared" si="16"/>
        <v>0</v>
      </c>
      <c r="R42" s="40">
        <f>SUM(R43:R46)</f>
        <v>0</v>
      </c>
      <c r="S42" s="40">
        <f>SUM(S43:S46)</f>
        <v>0</v>
      </c>
      <c r="T42" s="40">
        <f>SUM(T43:T46)</f>
        <v>0</v>
      </c>
      <c r="U42" s="73">
        <f t="shared" si="240"/>
        <v>0</v>
      </c>
      <c r="V42" s="40">
        <f>SUM(V43:V46)</f>
        <v>91903.4</v>
      </c>
      <c r="W42" s="73">
        <f t="shared" si="8"/>
        <v>1.1487924999999999</v>
      </c>
      <c r="X42" s="40">
        <f t="shared" si="17"/>
        <v>10211.488888888889</v>
      </c>
      <c r="Y42" s="40">
        <f>SUM(Y43:Y46)</f>
        <v>10824.178222222221</v>
      </c>
      <c r="Z42" s="40">
        <v>11232.637777777778</v>
      </c>
      <c r="AA42" s="40">
        <f>SUM(AA43:AA46)</f>
        <v>121860</v>
      </c>
      <c r="AB42" s="81">
        <f t="shared" si="70"/>
        <v>0</v>
      </c>
      <c r="AC42" t="s">
        <v>192</v>
      </c>
      <c r="AF42" s="40">
        <f>SUM(AF43:AF46)</f>
        <v>0</v>
      </c>
      <c r="AG42" s="73">
        <f t="shared" si="21"/>
        <v>0</v>
      </c>
      <c r="AH42" s="40">
        <f>SUM(AH43:AH46)</f>
        <v>0</v>
      </c>
      <c r="AI42" s="73">
        <f t="shared" si="21"/>
        <v>0</v>
      </c>
      <c r="AJ42" s="40">
        <f>SUM(AJ43:AJ46)</f>
        <v>0</v>
      </c>
      <c r="AK42" s="73">
        <f t="shared" ref="AK42:AM42" si="289">AJ42/$AA42</f>
        <v>0</v>
      </c>
      <c r="AL42" s="40">
        <f>SUM(AL43:AL46)</f>
        <v>80</v>
      </c>
      <c r="AM42" s="73">
        <f t="shared" si="289"/>
        <v>6.5649105530937138E-4</v>
      </c>
      <c r="AN42" s="40">
        <f>SUM(AN43:AN46)</f>
        <v>27835.21</v>
      </c>
      <c r="AO42" s="73">
        <f t="shared" ref="AO42:AQ42" si="290">AN42/$AA42</f>
        <v>0.22841957984572459</v>
      </c>
      <c r="AP42" s="40">
        <f>SUM(AP43:AP46)</f>
        <v>69375</v>
      </c>
      <c r="AQ42" s="73">
        <f t="shared" si="290"/>
        <v>0.56930083702609557</v>
      </c>
      <c r="AR42" s="40">
        <f>SUM(AR43:AR46)</f>
        <v>0</v>
      </c>
      <c r="AS42" s="73">
        <f t="shared" ref="AS42" si="291">AR42/$AA42</f>
        <v>0</v>
      </c>
      <c r="AT42" s="40">
        <f>SUM(AT43:AT46)</f>
        <v>0</v>
      </c>
      <c r="AU42" s="73">
        <f t="shared" ref="AU42" si="292">AT42/$AA42</f>
        <v>0</v>
      </c>
      <c r="AV42" s="40">
        <f>SUM(AV43:AV46)</f>
        <v>720</v>
      </c>
      <c r="AW42" s="73">
        <f t="shared" ref="AW42:BC42" si="293">AV42/$AA42</f>
        <v>5.9084194977843431E-3</v>
      </c>
      <c r="AX42" s="40">
        <f>SUM(AX43:AX46)</f>
        <v>0</v>
      </c>
      <c r="AY42" s="73">
        <f t="shared" si="293"/>
        <v>0</v>
      </c>
      <c r="AZ42" s="40">
        <f>SUM(AZ43:AZ46)</f>
        <v>0</v>
      </c>
      <c r="BA42" s="73">
        <f t="shared" si="293"/>
        <v>0</v>
      </c>
      <c r="BB42" s="40">
        <f>SUM(BB43:BB46)</f>
        <v>0</v>
      </c>
      <c r="BC42" s="73">
        <f t="shared" si="293"/>
        <v>0</v>
      </c>
      <c r="BD42" s="40">
        <f t="shared" ref="BD42" si="294">SUM(BD43:BD46)</f>
        <v>98010.209999999992</v>
      </c>
      <c r="BE42" s="73">
        <f t="shared" ref="BE42" si="295">BD42/$AA42</f>
        <v>0.80428532742491377</v>
      </c>
    </row>
    <row r="43" spans="1:57" x14ac:dyDescent="0.25">
      <c r="A43" s="97" t="s">
        <v>9</v>
      </c>
      <c r="B43" s="94">
        <v>0</v>
      </c>
      <c r="C43" s="46">
        <v>416.66666666666669</v>
      </c>
      <c r="D43" s="46">
        <v>5000</v>
      </c>
      <c r="E43" s="95">
        <f t="shared" si="238"/>
        <v>0</v>
      </c>
      <c r="F43" s="46">
        <v>0</v>
      </c>
      <c r="G43" s="46"/>
      <c r="H43" s="46"/>
      <c r="I43" s="46"/>
      <c r="J43" s="46"/>
      <c r="K43" s="46"/>
      <c r="L43" s="46"/>
      <c r="M43" s="76">
        <f t="shared" si="15"/>
        <v>0</v>
      </c>
      <c r="N43" s="46"/>
      <c r="O43" s="76">
        <f t="shared" si="40"/>
        <v>0</v>
      </c>
      <c r="P43" s="46"/>
      <c r="Q43" s="76">
        <f t="shared" si="16"/>
        <v>0</v>
      </c>
      <c r="R43" s="46"/>
      <c r="S43" s="46"/>
      <c r="T43" s="46"/>
      <c r="U43" s="76" t="e">
        <f t="shared" si="240"/>
        <v>#DIV/0!</v>
      </c>
      <c r="V43" s="46">
        <f>T43+S43+R43+P43+N43+L43+K43+J43+I43+H43+G43+F43</f>
        <v>0</v>
      </c>
      <c r="W43" s="76">
        <f t="shared" si="8"/>
        <v>0</v>
      </c>
      <c r="X43" s="46">
        <f t="shared" si="17"/>
        <v>0</v>
      </c>
      <c r="Y43" s="96">
        <f t="shared" ref="Y43:Y46" si="296">X43+(X43*$Y$2)</f>
        <v>0</v>
      </c>
      <c r="Z43" s="96">
        <v>0</v>
      </c>
      <c r="AA43" s="96">
        <f t="shared" si="62"/>
        <v>0</v>
      </c>
      <c r="AB43" s="81">
        <f t="shared" si="70"/>
        <v>0</v>
      </c>
      <c r="AC43" t="s">
        <v>193</v>
      </c>
      <c r="AF43" s="96"/>
      <c r="AG43" s="102"/>
      <c r="AH43" s="96"/>
      <c r="AI43" s="102"/>
      <c r="AJ43" s="96"/>
      <c r="AK43" s="102"/>
      <c r="AL43" s="96"/>
      <c r="AM43" s="102"/>
      <c r="AN43" s="96"/>
      <c r="AO43" s="102"/>
      <c r="AP43" s="96"/>
      <c r="AQ43" s="102"/>
      <c r="AR43" s="96"/>
      <c r="AS43" s="102"/>
      <c r="AT43" s="96"/>
      <c r="AU43" s="102"/>
      <c r="AV43" s="96"/>
      <c r="AW43" s="102"/>
      <c r="AX43" s="96"/>
      <c r="AY43" s="102"/>
      <c r="AZ43" s="96"/>
      <c r="BA43" s="102"/>
      <c r="BB43" s="96"/>
      <c r="BC43" s="102"/>
      <c r="BD43" s="104">
        <f t="shared" ref="BD43:BD46" si="297">AF43+AH43+AJ43+AL43+AN43+AP43+AR43+AT43+AV43+AX43+AZ43+BB43</f>
        <v>0</v>
      </c>
      <c r="BE43" s="102"/>
    </row>
    <row r="44" spans="1:57" x14ac:dyDescent="0.25">
      <c r="A44" s="97" t="s">
        <v>10</v>
      </c>
      <c r="B44" s="94">
        <v>14470.73</v>
      </c>
      <c r="C44" s="46">
        <v>1666.6666666666667</v>
      </c>
      <c r="D44" s="46">
        <v>20000</v>
      </c>
      <c r="E44" s="95">
        <f t="shared" si="238"/>
        <v>0.38210028105009219</v>
      </c>
      <c r="F44" s="46">
        <v>0</v>
      </c>
      <c r="G44" s="46"/>
      <c r="H44" s="46"/>
      <c r="I44" s="46">
        <v>24643.4</v>
      </c>
      <c r="J44" s="46"/>
      <c r="K44" s="46"/>
      <c r="L44" s="46"/>
      <c r="M44" s="76">
        <f t="shared" si="15"/>
        <v>0</v>
      </c>
      <c r="N44" s="46"/>
      <c r="O44" s="76">
        <f t="shared" si="40"/>
        <v>0</v>
      </c>
      <c r="P44" s="46"/>
      <c r="Q44" s="76">
        <f t="shared" si="16"/>
        <v>0</v>
      </c>
      <c r="R44" s="46"/>
      <c r="S44" s="46"/>
      <c r="T44" s="46"/>
      <c r="U44" s="76">
        <f t="shared" si="240"/>
        <v>0</v>
      </c>
      <c r="V44" s="46">
        <f>T44+S44+R44+P44+N44+L44+K44+J44+I44+H44+G44+F44</f>
        <v>24643.4</v>
      </c>
      <c r="W44" s="76">
        <f t="shared" si="8"/>
        <v>1.23217</v>
      </c>
      <c r="X44" s="46">
        <f t="shared" si="17"/>
        <v>2738.1555555555556</v>
      </c>
      <c r="Y44" s="96">
        <f t="shared" si="296"/>
        <v>2902.4448888888887</v>
      </c>
      <c r="Z44" s="96">
        <v>2250</v>
      </c>
      <c r="AA44" s="96">
        <f t="shared" si="62"/>
        <v>27000</v>
      </c>
      <c r="AB44" s="81">
        <f t="shared" si="70"/>
        <v>0</v>
      </c>
      <c r="AF44" s="96"/>
      <c r="AG44" s="102">
        <f t="shared" si="21"/>
        <v>0</v>
      </c>
      <c r="AH44" s="96"/>
      <c r="AI44" s="102">
        <f t="shared" si="21"/>
        <v>0</v>
      </c>
      <c r="AJ44" s="96"/>
      <c r="AK44" s="102">
        <f t="shared" ref="AK44:AM44" si="298">AJ44/$AA44</f>
        <v>0</v>
      </c>
      <c r="AL44" s="96">
        <v>80</v>
      </c>
      <c r="AM44" s="102">
        <f t="shared" si="298"/>
        <v>2.9629629629629628E-3</v>
      </c>
      <c r="AN44" s="96">
        <v>27115.21</v>
      </c>
      <c r="AO44" s="102">
        <f t="shared" ref="AO44:AQ44" si="299">AN44/$AA44</f>
        <v>1.004267037037037</v>
      </c>
      <c r="AP44" s="96"/>
      <c r="AQ44" s="102">
        <f t="shared" si="299"/>
        <v>0</v>
      </c>
      <c r="AR44" s="96"/>
      <c r="AS44" s="102">
        <f t="shared" ref="AS44" si="300">AR44/$AA44</f>
        <v>0</v>
      </c>
      <c r="AT44" s="96"/>
      <c r="AU44" s="102">
        <f t="shared" ref="AU44" si="301">AT44/$AA44</f>
        <v>0</v>
      </c>
      <c r="AV44" s="96"/>
      <c r="AW44" s="102">
        <f t="shared" ref="AW44:BC44" si="302">AV44/$AA44</f>
        <v>0</v>
      </c>
      <c r="AX44" s="96"/>
      <c r="AY44" s="102">
        <f t="shared" si="302"/>
        <v>0</v>
      </c>
      <c r="AZ44" s="96"/>
      <c r="BA44" s="102">
        <f t="shared" si="302"/>
        <v>0</v>
      </c>
      <c r="BB44" s="96"/>
      <c r="BC44" s="102">
        <f t="shared" si="302"/>
        <v>0</v>
      </c>
      <c r="BD44" s="104">
        <f t="shared" si="297"/>
        <v>27195.21</v>
      </c>
      <c r="BE44" s="102">
        <f t="shared" ref="BE44" si="303">BD44/$AA44</f>
        <v>1.0072300000000001</v>
      </c>
    </row>
    <row r="45" spans="1:57" x14ac:dyDescent="0.25">
      <c r="A45" s="97" t="s">
        <v>11</v>
      </c>
      <c r="B45" s="94">
        <v>48510</v>
      </c>
      <c r="C45" s="46">
        <v>4583.333333333333</v>
      </c>
      <c r="D45" s="46">
        <v>55000</v>
      </c>
      <c r="E45" s="95">
        <f t="shared" si="238"/>
        <v>0.13378684807256236</v>
      </c>
      <c r="F45" s="46">
        <v>0</v>
      </c>
      <c r="G45" s="46"/>
      <c r="H45" s="46"/>
      <c r="I45" s="46"/>
      <c r="J45" s="46">
        <v>1440</v>
      </c>
      <c r="K45" s="46">
        <v>65820</v>
      </c>
      <c r="L45" s="46"/>
      <c r="M45" s="76">
        <f t="shared" si="15"/>
        <v>0</v>
      </c>
      <c r="N45" s="46"/>
      <c r="O45" s="76">
        <f t="shared" si="40"/>
        <v>0</v>
      </c>
      <c r="P45" s="46"/>
      <c r="Q45" s="76">
        <f t="shared" si="16"/>
        <v>0</v>
      </c>
      <c r="R45" s="46"/>
      <c r="S45" s="46"/>
      <c r="T45" s="46"/>
      <c r="U45" s="76" t="e">
        <f t="shared" si="240"/>
        <v>#DIV/0!</v>
      </c>
      <c r="V45" s="46">
        <f>T45+S45+R45+P45+N45+L45+K45+J45+I45+H45+G45+F45</f>
        <v>67260</v>
      </c>
      <c r="W45" s="76">
        <f t="shared" si="8"/>
        <v>1.2229090909090909</v>
      </c>
      <c r="X45" s="46">
        <f t="shared" si="17"/>
        <v>7473.333333333333</v>
      </c>
      <c r="Y45" s="96">
        <f t="shared" si="296"/>
        <v>7921.7333333333327</v>
      </c>
      <c r="Z45" s="96">
        <v>5605</v>
      </c>
      <c r="AA45" s="96">
        <f t="shared" si="62"/>
        <v>67260</v>
      </c>
      <c r="AB45" s="81">
        <f t="shared" si="70"/>
        <v>0</v>
      </c>
      <c r="AF45" s="96"/>
      <c r="AG45" s="102">
        <f t="shared" si="21"/>
        <v>0</v>
      </c>
      <c r="AH45" s="96"/>
      <c r="AI45" s="102">
        <f t="shared" si="21"/>
        <v>0</v>
      </c>
      <c r="AJ45" s="96"/>
      <c r="AK45" s="102">
        <f t="shared" ref="AK45:AM45" si="304">AJ45/$AA45</f>
        <v>0</v>
      </c>
      <c r="AL45" s="96"/>
      <c r="AM45" s="102">
        <f t="shared" si="304"/>
        <v>0</v>
      </c>
      <c r="AN45" s="96">
        <v>720</v>
      </c>
      <c r="AO45" s="102">
        <f t="shared" ref="AO45:AQ45" si="305">AN45/$AA45</f>
        <v>1.0704727921498661E-2</v>
      </c>
      <c r="AP45" s="96">
        <v>69375</v>
      </c>
      <c r="AQ45" s="102">
        <f t="shared" si="305"/>
        <v>1.0314451382694023</v>
      </c>
      <c r="AR45" s="96"/>
      <c r="AS45" s="102">
        <f t="shared" ref="AS45" si="306">AR45/$AA45</f>
        <v>0</v>
      </c>
      <c r="AT45" s="96"/>
      <c r="AU45" s="102">
        <f t="shared" ref="AU45" si="307">AT45/$AA45</f>
        <v>0</v>
      </c>
      <c r="AV45" s="96"/>
      <c r="AW45" s="102">
        <f t="shared" ref="AW45:BC45" si="308">AV45/$AA45</f>
        <v>0</v>
      </c>
      <c r="AX45" s="96"/>
      <c r="AY45" s="102">
        <f t="shared" si="308"/>
        <v>0</v>
      </c>
      <c r="AZ45" s="96"/>
      <c r="BA45" s="102">
        <f t="shared" si="308"/>
        <v>0</v>
      </c>
      <c r="BB45" s="96"/>
      <c r="BC45" s="102">
        <f t="shared" si="308"/>
        <v>0</v>
      </c>
      <c r="BD45" s="104">
        <f t="shared" si="297"/>
        <v>70095</v>
      </c>
      <c r="BE45" s="102">
        <f t="shared" ref="BE45" si="309">BD45/$AA45</f>
        <v>1.042149866190901</v>
      </c>
    </row>
    <row r="46" spans="1:57" x14ac:dyDescent="0.25">
      <c r="A46" s="97" t="s">
        <v>179</v>
      </c>
      <c r="B46" s="94">
        <v>0</v>
      </c>
      <c r="C46" s="46">
        <v>0</v>
      </c>
      <c r="D46" s="46">
        <v>0</v>
      </c>
      <c r="E46" s="95">
        <f t="shared" si="238"/>
        <v>0</v>
      </c>
      <c r="F46" s="46">
        <v>0</v>
      </c>
      <c r="G46" s="46"/>
      <c r="H46" s="46"/>
      <c r="I46" s="46"/>
      <c r="J46" s="46"/>
      <c r="K46" s="46"/>
      <c r="L46" s="46"/>
      <c r="M46" s="76"/>
      <c r="N46" s="46"/>
      <c r="O46" s="76" t="e">
        <f t="shared" si="40"/>
        <v>#DIV/0!</v>
      </c>
      <c r="P46" s="46"/>
      <c r="Q46" s="76" t="e">
        <f t="shared" si="16"/>
        <v>#DIV/0!</v>
      </c>
      <c r="R46" s="46"/>
      <c r="S46" s="46"/>
      <c r="T46" s="46"/>
      <c r="U46" s="76"/>
      <c r="V46" s="46">
        <f>T46+S46+R46+P46+N46+L46+K46+J46+I46+H46+G46+F46</f>
        <v>0</v>
      </c>
      <c r="W46" s="76" t="e">
        <f t="shared" si="8"/>
        <v>#DIV/0!</v>
      </c>
      <c r="X46" s="46">
        <f t="shared" si="17"/>
        <v>0</v>
      </c>
      <c r="Y46" s="96">
        <f t="shared" si="296"/>
        <v>0</v>
      </c>
      <c r="Z46" s="96">
        <v>2300</v>
      </c>
      <c r="AA46" s="96">
        <f t="shared" si="62"/>
        <v>27600</v>
      </c>
      <c r="AB46" s="81">
        <f t="shared" si="70"/>
        <v>0</v>
      </c>
      <c r="AF46" s="96"/>
      <c r="AG46" s="102">
        <f t="shared" si="21"/>
        <v>0</v>
      </c>
      <c r="AH46" s="96"/>
      <c r="AI46" s="102">
        <f t="shared" si="21"/>
        <v>0</v>
      </c>
      <c r="AJ46" s="96"/>
      <c r="AK46" s="102">
        <f t="shared" ref="AK46:AM46" si="310">AJ46/$AA46</f>
        <v>0</v>
      </c>
      <c r="AL46" s="96"/>
      <c r="AM46" s="102">
        <f t="shared" si="310"/>
        <v>0</v>
      </c>
      <c r="AN46" s="96"/>
      <c r="AO46" s="102">
        <f t="shared" ref="AO46:AQ46" si="311">AN46/$AA46</f>
        <v>0</v>
      </c>
      <c r="AP46" s="96"/>
      <c r="AQ46" s="102">
        <f t="shared" si="311"/>
        <v>0</v>
      </c>
      <c r="AR46" s="96"/>
      <c r="AS46" s="102">
        <f t="shared" ref="AS46" si="312">AR46/$AA46</f>
        <v>0</v>
      </c>
      <c r="AT46" s="96"/>
      <c r="AU46" s="102">
        <f t="shared" ref="AU46" si="313">AT46/$AA46</f>
        <v>0</v>
      </c>
      <c r="AV46" s="96">
        <v>720</v>
      </c>
      <c r="AW46" s="102">
        <f t="shared" ref="AW46:BC46" si="314">AV46/$AA46</f>
        <v>2.6086956521739129E-2</v>
      </c>
      <c r="AX46" s="96"/>
      <c r="AY46" s="102">
        <f t="shared" si="314"/>
        <v>0</v>
      </c>
      <c r="AZ46" s="96"/>
      <c r="BA46" s="102">
        <f t="shared" si="314"/>
        <v>0</v>
      </c>
      <c r="BB46" s="96"/>
      <c r="BC46" s="102">
        <f t="shared" si="314"/>
        <v>0</v>
      </c>
      <c r="BD46" s="104">
        <f t="shared" si="297"/>
        <v>720</v>
      </c>
      <c r="BE46" s="102">
        <f t="shared" ref="BE46" si="315">BD46/$AA46</f>
        <v>2.6086956521739129E-2</v>
      </c>
    </row>
    <row r="47" spans="1:57" x14ac:dyDescent="0.25">
      <c r="A47" s="55" t="s">
        <v>26</v>
      </c>
      <c r="B47" s="41">
        <v>3871348.5561493332</v>
      </c>
      <c r="C47" s="41">
        <v>368800.98722222215</v>
      </c>
      <c r="D47" s="41">
        <f>D48+D88+D110+D128+D145+D142+D152+D104</f>
        <v>4372853.9266666668</v>
      </c>
      <c r="E47" s="35">
        <f t="shared" si="238"/>
        <v>0.12954281001661072</v>
      </c>
      <c r="F47" s="41">
        <f t="shared" ref="F47:L47" si="316">F48+F88+F110+F128+F145+F142+F152+F104</f>
        <v>319313.90999999997</v>
      </c>
      <c r="G47" s="41">
        <f t="shared" si="316"/>
        <v>299456.33</v>
      </c>
      <c r="H47" s="41">
        <f t="shared" si="316"/>
        <v>319676.00000000006</v>
      </c>
      <c r="I47" s="41">
        <f t="shared" si="316"/>
        <v>450150.23</v>
      </c>
      <c r="J47" s="41">
        <f t="shared" si="316"/>
        <v>424057.8</v>
      </c>
      <c r="K47" s="41">
        <f t="shared" si="316"/>
        <v>443345.81000000006</v>
      </c>
      <c r="L47" s="41">
        <f t="shared" si="316"/>
        <v>302256.38000000006</v>
      </c>
      <c r="M47" s="77">
        <f t="shared" si="15"/>
        <v>0.8195649970369373</v>
      </c>
      <c r="N47" s="41">
        <f>N48+N88+N110+N128+N145+N142+N152+N104</f>
        <v>402002.19</v>
      </c>
      <c r="O47" s="77">
        <f t="shared" si="40"/>
        <v>1.0900247123193636</v>
      </c>
      <c r="P47" s="41">
        <f>P48+P88+P110+P128+P145+P142+P152+P104</f>
        <v>394968.66</v>
      </c>
      <c r="Q47" s="77">
        <f t="shared" si="16"/>
        <v>1.0709533696611566</v>
      </c>
      <c r="R47" s="41">
        <f>R48+R88+R110+R128+R145+R142+R152+R104</f>
        <v>0</v>
      </c>
      <c r="S47" s="41">
        <f>S48+S88+S110+S128+S145+S142+S152+S104</f>
        <v>0</v>
      </c>
      <c r="T47" s="41">
        <f>T48+T88+T110+T128+T145+T142+T152+T104</f>
        <v>0</v>
      </c>
      <c r="U47" s="77">
        <f>T47/I47</f>
        <v>0</v>
      </c>
      <c r="V47" s="41">
        <f>V48+V88+V110+V128+V145+V142+V152+V104</f>
        <v>3441243.1099999994</v>
      </c>
      <c r="W47" s="77">
        <f t="shared" si="8"/>
        <v>0.78695588000653516</v>
      </c>
      <c r="X47" s="41">
        <f t="shared" si="17"/>
        <v>382360.34555555548</v>
      </c>
      <c r="Y47" s="41">
        <f>Y48+Y88+Y110+Y128+Y145+Y142+Y152+Y104</f>
        <v>405301.96628888889</v>
      </c>
      <c r="Z47" s="41">
        <v>420596.3801111111</v>
      </c>
      <c r="AA47" s="41">
        <f>AA48+AA88+AA110+AA128+AA145+AA142+AA152+AA104</f>
        <v>4973155.5588882929</v>
      </c>
      <c r="AB47" s="81">
        <f t="shared" si="70"/>
        <v>366409.07666666666</v>
      </c>
      <c r="AF47" s="41">
        <f>AF48+AF88+AF110+AF128+AF145+AF142+AF152+AF104</f>
        <v>341611.16</v>
      </c>
      <c r="AG47" s="77">
        <f t="shared" si="21"/>
        <v>6.8691026442849551E-2</v>
      </c>
      <c r="AH47" s="41">
        <f>AH48+AH88+AH110+AH128+AH145+AH142+AH152+AH104</f>
        <v>419653.22999999992</v>
      </c>
      <c r="AI47" s="77">
        <f t="shared" si="21"/>
        <v>8.4383692613429914E-2</v>
      </c>
      <c r="AJ47" s="41">
        <f>AJ48+AJ88+AJ110+AJ128+AJ145+AJ142+AJ152+AJ104</f>
        <v>333438.27000000008</v>
      </c>
      <c r="AK47" s="77">
        <f t="shared" ref="AK47:AM47" si="317">AJ47/$AA47</f>
        <v>6.704762520530072E-2</v>
      </c>
      <c r="AL47" s="41">
        <f>AL48+AL88+AL110+AL128+AL145+AL142+AL152+AL104</f>
        <v>361502.80000000005</v>
      </c>
      <c r="AM47" s="77">
        <f t="shared" si="317"/>
        <v>7.2690828935343205E-2</v>
      </c>
      <c r="AN47" s="41">
        <f>AN48+AN88+AN110+AN128+AN145+AN142+AN152+AN104</f>
        <v>354434.23</v>
      </c>
      <c r="AO47" s="77">
        <f t="shared" ref="AO47:AQ47" si="318">AN47/$AA47</f>
        <v>7.1269483892683783E-2</v>
      </c>
      <c r="AP47" s="41">
        <f>AP48+AP88+AP110+AP128+AP145+AP142+AP152+AP104</f>
        <v>476040.92999999993</v>
      </c>
      <c r="AQ47" s="77">
        <f t="shared" si="318"/>
        <v>9.5722107294470976E-2</v>
      </c>
      <c r="AR47" s="41">
        <f>AR48+AR88+AR110+AR128+AR145+AR142+AR152+AR104</f>
        <v>359575.55000000005</v>
      </c>
      <c r="AS47" s="77">
        <f t="shared" ref="AS47" si="319">AR47/$AA47</f>
        <v>7.2303298326823334E-2</v>
      </c>
      <c r="AT47" s="41">
        <f>AT48+AT88+AT110+AT128+AT145+AT142+AT152+AT104</f>
        <v>355865.80999999994</v>
      </c>
      <c r="AU47" s="77">
        <f t="shared" ref="AU47" si="320">AT47/$AA47</f>
        <v>7.1557345388880367E-2</v>
      </c>
      <c r="AV47" s="41">
        <f>AV48+AV88+AV110+AV128+AV145+AV142+AV152+AV104</f>
        <v>452841.17</v>
      </c>
      <c r="AW47" s="77">
        <f t="shared" ref="AW47:BC47" si="321">AV47/$AA47</f>
        <v>9.1057109442445994E-2</v>
      </c>
      <c r="AX47" s="41">
        <f>AX48+AX88+AX110+AX128+AX145+AX142+AX152+AX104</f>
        <v>0</v>
      </c>
      <c r="AY47" s="77">
        <f t="shared" si="321"/>
        <v>0</v>
      </c>
      <c r="AZ47" s="41">
        <f>AZ48+AZ88+AZ110+AZ128+AZ145+AZ142+AZ152+AZ104</f>
        <v>0</v>
      </c>
      <c r="BA47" s="77">
        <f t="shared" si="321"/>
        <v>0</v>
      </c>
      <c r="BB47" s="41">
        <f>BB48+BB88+BB110+BB128+BB145+BB142+BB152+BB104</f>
        <v>0</v>
      </c>
      <c r="BC47" s="77">
        <f t="shared" si="321"/>
        <v>0</v>
      </c>
      <c r="BD47" s="41">
        <f t="shared" ref="BD47" si="322">BD48+BD88+BD110+BD128+BD145+BD142+BD152+BD104</f>
        <v>3454213.1499999994</v>
      </c>
      <c r="BE47" s="77">
        <f t="shared" ref="BE47" si="323">BD47/$AA47</f>
        <v>0.69457170786191125</v>
      </c>
    </row>
    <row r="48" spans="1:57" x14ac:dyDescent="0.25">
      <c r="A48" s="57" t="s">
        <v>27</v>
      </c>
      <c r="B48" s="56">
        <v>2429005.0699999998</v>
      </c>
      <c r="C48" s="41">
        <v>218524.43388888886</v>
      </c>
      <c r="D48" s="41">
        <f>D49+D62+D64+D72+D79</f>
        <v>2642535.2866666666</v>
      </c>
      <c r="E48" s="35">
        <f t="shared" ref="E48:E79" si="324">IFERROR((D48/B48)-1,0)</f>
        <v>8.790851007431888E-2</v>
      </c>
      <c r="F48" s="41">
        <f>F49+F62+F64+F72+F79</f>
        <v>210913.74</v>
      </c>
      <c r="G48" s="41">
        <f t="shared" ref="G48:V48" si="325">G49+G62+G64+G72+G79</f>
        <v>201603.92000000004</v>
      </c>
      <c r="H48" s="41">
        <f t="shared" si="325"/>
        <v>173976.21000000002</v>
      </c>
      <c r="I48" s="41">
        <f t="shared" si="325"/>
        <v>257532.87000000002</v>
      </c>
      <c r="J48" s="41">
        <f t="shared" si="325"/>
        <v>237061.59000000003</v>
      </c>
      <c r="K48" s="41">
        <f t="shared" si="325"/>
        <v>211749.69000000003</v>
      </c>
      <c r="L48" s="41">
        <f t="shared" si="325"/>
        <v>203164.79</v>
      </c>
      <c r="M48" s="77">
        <f t="shared" si="15"/>
        <v>0.92971200695708645</v>
      </c>
      <c r="N48" s="41">
        <f t="shared" si="325"/>
        <v>205283.4</v>
      </c>
      <c r="O48" s="77">
        <f t="shared" si="40"/>
        <v>0.93940707840652082</v>
      </c>
      <c r="P48" s="41">
        <f t="shared" si="325"/>
        <v>215233.94</v>
      </c>
      <c r="Q48" s="77">
        <f t="shared" si="16"/>
        <v>0.98494221524645642</v>
      </c>
      <c r="R48" s="41">
        <f t="shared" si="325"/>
        <v>0</v>
      </c>
      <c r="S48" s="41">
        <f t="shared" si="325"/>
        <v>0</v>
      </c>
      <c r="T48" s="41">
        <f t="shared" si="325"/>
        <v>0</v>
      </c>
      <c r="U48" s="77">
        <f>T48/I48</f>
        <v>0</v>
      </c>
      <c r="V48" s="41">
        <f t="shared" si="325"/>
        <v>1916520.15</v>
      </c>
      <c r="W48" s="77">
        <f t="shared" si="8"/>
        <v>0.72525811090209769</v>
      </c>
      <c r="X48" s="41">
        <f t="shared" si="17"/>
        <v>212946.68333333332</v>
      </c>
      <c r="Y48" s="41">
        <f t="shared" ref="Y48" si="326">Y49+Y62+Y64+Y72+Y79</f>
        <v>225723.48433333333</v>
      </c>
      <c r="Z48" s="41">
        <v>234241.35166666665</v>
      </c>
      <c r="AA48" s="41">
        <f>AA49+AA62+AA64+AA72+AA79</f>
        <v>2809470.0413333327</v>
      </c>
      <c r="AB48" s="81">
        <f t="shared" si="70"/>
        <v>207894.04333333333</v>
      </c>
      <c r="AF48" s="41">
        <f>AF49+AF62+AF64+AF72+AF79</f>
        <v>206891.25000000003</v>
      </c>
      <c r="AG48" s="77">
        <f t="shared" si="21"/>
        <v>7.3640667797195136E-2</v>
      </c>
      <c r="AH48" s="41">
        <f>AH49+AH62+AH64+AH72+AH79</f>
        <v>233739.16999999998</v>
      </c>
      <c r="AI48" s="77">
        <f t="shared" si="21"/>
        <v>8.3196890004589921E-2</v>
      </c>
      <c r="AJ48" s="41">
        <f>AJ49+AJ62+AJ64+AJ72+AJ79</f>
        <v>204708.98000000004</v>
      </c>
      <c r="AK48" s="77">
        <f t="shared" ref="AK48:AM48" si="327">AJ48/$AA48</f>
        <v>7.2863912762297409E-2</v>
      </c>
      <c r="AL48" s="41">
        <f>AL49+AL62+AL64+AL72+AL79</f>
        <v>250066.70000000004</v>
      </c>
      <c r="AM48" s="77">
        <f t="shared" si="327"/>
        <v>8.900849495491403E-2</v>
      </c>
      <c r="AN48" s="41">
        <f>AN49+AN62+AN64+AN72+AN79</f>
        <v>222048.66999999998</v>
      </c>
      <c r="AO48" s="77">
        <f t="shared" ref="AO48:AQ48" si="328">AN48/$AA48</f>
        <v>7.903578494633777E-2</v>
      </c>
      <c r="AP48" s="41">
        <f>AP49+AP62+AP64+AP72+AP79</f>
        <v>205566.47</v>
      </c>
      <c r="AQ48" s="77">
        <f t="shared" si="328"/>
        <v>7.3169126908518733E-2</v>
      </c>
      <c r="AR48" s="41">
        <f>AR49+AR62+AR64+AR72+AR79</f>
        <v>205061.87</v>
      </c>
      <c r="AS48" s="77">
        <f t="shared" ref="AS48" si="329">AR48/$AA48</f>
        <v>7.2989520081403206E-2</v>
      </c>
      <c r="AT48" s="41">
        <f>AT49+AT62+AT64+AT72+AT79</f>
        <v>212312.08</v>
      </c>
      <c r="AU48" s="77">
        <f t="shared" ref="AU48" si="330">AT48/$AA48</f>
        <v>7.557015268945165E-2</v>
      </c>
      <c r="AV48" s="41">
        <f>AV49+AV62+AV64+AV72+AV79</f>
        <v>237138.89</v>
      </c>
      <c r="AW48" s="77">
        <f t="shared" ref="AW48:BC48" si="331">AV48/$AA48</f>
        <v>8.4406982993652929E-2</v>
      </c>
      <c r="AX48" s="41">
        <f>AX49+AX62+AX64+AX72+AX79</f>
        <v>0</v>
      </c>
      <c r="AY48" s="77">
        <f t="shared" si="331"/>
        <v>0</v>
      </c>
      <c r="AZ48" s="41">
        <f>AZ49+AZ62+AZ64+AZ72+AZ79</f>
        <v>0</v>
      </c>
      <c r="BA48" s="77">
        <f t="shared" si="331"/>
        <v>0</v>
      </c>
      <c r="BB48" s="41">
        <f>BB49+BB62+BB64+BB72+BB79</f>
        <v>0</v>
      </c>
      <c r="BC48" s="77">
        <f t="shared" si="331"/>
        <v>0</v>
      </c>
      <c r="BD48" s="41">
        <f t="shared" ref="BD48" si="332">BD49+BD62+BD64+BD72+BD79</f>
        <v>1977534.0799999998</v>
      </c>
      <c r="BE48" s="77">
        <f t="shared" ref="BE48" si="333">BD48/$AA48</f>
        <v>0.70388153313836077</v>
      </c>
    </row>
    <row r="49" spans="1:57" x14ac:dyDescent="0.25">
      <c r="A49" s="58" t="s">
        <v>28</v>
      </c>
      <c r="B49" s="59">
        <v>1812646.8399999999</v>
      </c>
      <c r="C49" s="42">
        <v>139740</v>
      </c>
      <c r="D49" s="42">
        <f>SUM(D50:D61)</f>
        <v>1676880</v>
      </c>
      <c r="E49" s="35">
        <f t="shared" si="324"/>
        <v>-7.4899774740456282E-2</v>
      </c>
      <c r="F49" s="42">
        <f>SUM(F50:F61)</f>
        <v>131082.55000000002</v>
      </c>
      <c r="G49" s="42">
        <f t="shared" ref="G49:V49" si="334">SUM(G50:G61)</f>
        <v>124029.08000000003</v>
      </c>
      <c r="H49" s="42">
        <f t="shared" si="334"/>
        <v>121207.96</v>
      </c>
      <c r="I49" s="42">
        <f t="shared" si="334"/>
        <v>184778.84</v>
      </c>
      <c r="J49" s="42">
        <f t="shared" si="334"/>
        <v>152127</v>
      </c>
      <c r="K49" s="42">
        <f t="shared" si="334"/>
        <v>128180.31000000003</v>
      </c>
      <c r="L49" s="42">
        <f t="shared" si="334"/>
        <v>132603.19</v>
      </c>
      <c r="M49" s="78">
        <f t="shared" si="15"/>
        <v>0.948927937598397</v>
      </c>
      <c r="N49" s="42">
        <f t="shared" si="334"/>
        <v>125197.12</v>
      </c>
      <c r="O49" s="78">
        <f t="shared" si="40"/>
        <v>0.89592901102046651</v>
      </c>
      <c r="P49" s="42">
        <f t="shared" si="334"/>
        <v>136667.49</v>
      </c>
      <c r="Q49" s="78">
        <f t="shared" si="16"/>
        <v>0.97801266638042073</v>
      </c>
      <c r="R49" s="42">
        <f t="shared" si="334"/>
        <v>0</v>
      </c>
      <c r="S49" s="42">
        <f t="shared" si="334"/>
        <v>0</v>
      </c>
      <c r="T49" s="42">
        <f t="shared" si="334"/>
        <v>0</v>
      </c>
      <c r="U49" s="78">
        <f>T49/I49</f>
        <v>0</v>
      </c>
      <c r="V49" s="42">
        <f t="shared" si="334"/>
        <v>1235873.54</v>
      </c>
      <c r="W49" s="78">
        <f t="shared" si="8"/>
        <v>0.73700774056581275</v>
      </c>
      <c r="X49" s="42">
        <f t="shared" si="17"/>
        <v>137319.28222222222</v>
      </c>
      <c r="Y49" s="42">
        <f t="shared" ref="Y49" si="335">SUM(Y50:Y61)</f>
        <v>145558.43915555556</v>
      </c>
      <c r="Z49" s="42">
        <v>151051.21044444441</v>
      </c>
      <c r="AA49" s="42">
        <f>SUM(AA50:AA61)</f>
        <v>1849910.0799999996</v>
      </c>
      <c r="AB49" s="81">
        <f t="shared" si="70"/>
        <v>131489.26666666666</v>
      </c>
      <c r="AF49" s="42">
        <f>SUM(AF50:AF61)</f>
        <v>131064.16000000002</v>
      </c>
      <c r="AG49" s="78">
        <f t="shared" si="21"/>
        <v>7.0848935533126045E-2</v>
      </c>
      <c r="AH49" s="42">
        <f>SUM(AH50:AH61)</f>
        <v>149948.35</v>
      </c>
      <c r="AI49" s="78">
        <f t="shared" si="21"/>
        <v>8.1057101975464688E-2</v>
      </c>
      <c r="AJ49" s="42">
        <f>SUM(AJ50:AJ61)</f>
        <v>129373.26000000002</v>
      </c>
      <c r="AK49" s="78">
        <f t="shared" ref="AK49:AM49" si="336">AJ49/$AA49</f>
        <v>6.993489110562609E-2</v>
      </c>
      <c r="AL49" s="42">
        <f>SUM(AL50:AL61)</f>
        <v>181482.60000000003</v>
      </c>
      <c r="AM49" s="78">
        <f t="shared" si="336"/>
        <v>9.8103471061685377E-2</v>
      </c>
      <c r="AN49" s="42">
        <f>SUM(AN50:AN61)</f>
        <v>149202.45000000001</v>
      </c>
      <c r="AO49" s="78">
        <f t="shared" ref="AO49:AQ49" si="337">AN49/$AA49</f>
        <v>8.0653893188148931E-2</v>
      </c>
      <c r="AP49" s="42">
        <f>SUM(AP50:AP61)</f>
        <v>133243.47999999998</v>
      </c>
      <c r="AQ49" s="78">
        <f t="shared" si="337"/>
        <v>7.202700360441304E-2</v>
      </c>
      <c r="AR49" s="42">
        <f>SUM(AR50:AR61)</f>
        <v>128093.61999999998</v>
      </c>
      <c r="AS49" s="78">
        <f t="shared" ref="AS49" si="338">AR49/$AA49</f>
        <v>6.924316018646702E-2</v>
      </c>
      <c r="AT49" s="42">
        <f>SUM(AT50:AT61)</f>
        <v>131183.99</v>
      </c>
      <c r="AU49" s="78">
        <f t="shared" ref="AU49" si="339">AT49/$AA49</f>
        <v>7.0913711654568654E-2</v>
      </c>
      <c r="AV49" s="42">
        <f>SUM(AV50:AV61)</f>
        <v>154457.18</v>
      </c>
      <c r="AW49" s="78">
        <f t="shared" ref="AW49:BC49" si="340">AV49/$AA49</f>
        <v>8.3494425847985013E-2</v>
      </c>
      <c r="AX49" s="42">
        <f>SUM(AX50:AX61)</f>
        <v>0</v>
      </c>
      <c r="AY49" s="78">
        <f t="shared" si="340"/>
        <v>0</v>
      </c>
      <c r="AZ49" s="42">
        <f>SUM(AZ50:AZ61)</f>
        <v>0</v>
      </c>
      <c r="BA49" s="78">
        <f t="shared" si="340"/>
        <v>0</v>
      </c>
      <c r="BB49" s="42">
        <f>SUM(BB50:BB61)</f>
        <v>0</v>
      </c>
      <c r="BC49" s="78">
        <f t="shared" si="340"/>
        <v>0</v>
      </c>
      <c r="BD49" s="42">
        <f t="shared" ref="BD49" si="341">SUM(BD50:BD61)</f>
        <v>1288049.0899999999</v>
      </c>
      <c r="BE49" s="78">
        <f t="shared" ref="BE49" si="342">BD49/$AA49</f>
        <v>0.69627659415748477</v>
      </c>
    </row>
    <row r="50" spans="1:57" x14ac:dyDescent="0.25">
      <c r="A50" s="60" t="s">
        <v>29</v>
      </c>
      <c r="B50" s="61">
        <v>927366.84</v>
      </c>
      <c r="C50" s="38">
        <v>77200</v>
      </c>
      <c r="D50" s="38">
        <v>926400</v>
      </c>
      <c r="E50" s="35">
        <f t="shared" si="324"/>
        <v>-1.0425647740434085E-3</v>
      </c>
      <c r="F50" s="38">
        <f>71727.22-2736.34</f>
        <v>68990.880000000005</v>
      </c>
      <c r="G50" s="38">
        <f>69058.22-2127.34</f>
        <v>66930.880000000005</v>
      </c>
      <c r="H50" s="38">
        <f>73316.83-2172.22</f>
        <v>71144.61</v>
      </c>
      <c r="I50" s="38">
        <f>86116.68-6120.85</f>
        <v>79995.829999999987</v>
      </c>
      <c r="J50" s="38">
        <f>91504.18-2747.07</f>
        <v>88757.109999999986</v>
      </c>
      <c r="K50" s="38">
        <f>74923.19-2412.65</f>
        <v>72510.540000000008</v>
      </c>
      <c r="L50" s="38">
        <f>71937.09</f>
        <v>71937.09</v>
      </c>
      <c r="M50" s="75">
        <f t="shared" si="15"/>
        <v>0.93182759067357512</v>
      </c>
      <c r="N50" s="38">
        <f>77157.54-1389.6</f>
        <v>75767.939999999988</v>
      </c>
      <c r="O50" s="75">
        <f t="shared" si="40"/>
        <v>0.98144999999999982</v>
      </c>
      <c r="P50" s="38">
        <f>71199.22-2309.07</f>
        <v>68890.149999999994</v>
      </c>
      <c r="Q50" s="75">
        <f t="shared" si="16"/>
        <v>0.89235945595854915</v>
      </c>
      <c r="R50" s="38"/>
      <c r="S50" s="38"/>
      <c r="T50" s="38"/>
      <c r="U50" s="75">
        <f>T50/I50</f>
        <v>0</v>
      </c>
      <c r="V50" s="38">
        <f t="shared" ref="V50:V61" si="343">T50+S50+R50+P50+N50+L50+K50+J50+I50+H50+G50+F50</f>
        <v>664925.02999999991</v>
      </c>
      <c r="W50" s="75">
        <f t="shared" si="8"/>
        <v>0.71775154360967175</v>
      </c>
      <c r="X50" s="38">
        <f t="shared" si="17"/>
        <v>73880.558888888874</v>
      </c>
      <c r="Y50" s="83">
        <f t="shared" ref="Y50:Y61" si="344">X50+(X50*$Y$2)</f>
        <v>78313.392422222212</v>
      </c>
      <c r="Z50" s="83">
        <v>81268.614777777766</v>
      </c>
      <c r="AA50" s="83">
        <f t="shared" ref="AA50:AA109" si="345">Z50*12</f>
        <v>975223.37733333325</v>
      </c>
      <c r="AB50" s="81">
        <f t="shared" si="70"/>
        <v>72198.393333333326</v>
      </c>
      <c r="AF50" s="83">
        <f>80595.64-2532.66</f>
        <v>78062.98</v>
      </c>
      <c r="AG50" s="103">
        <f t="shared" si="21"/>
        <v>8.0046255877762776E-2</v>
      </c>
      <c r="AH50" s="96">
        <v>94072.33</v>
      </c>
      <c r="AI50" s="103">
        <f t="shared" si="21"/>
        <v>9.64623410251228E-2</v>
      </c>
      <c r="AJ50" s="83">
        <f>74644.97-166.67</f>
        <v>74478.3</v>
      </c>
      <c r="AK50" s="103">
        <f t="shared" ref="AK50:AM50" si="346">AJ50/$AA50</f>
        <v>7.637050313914201E-2</v>
      </c>
      <c r="AL50" s="83">
        <v>75856.990000000005</v>
      </c>
      <c r="AM50" s="103">
        <f t="shared" si="346"/>
        <v>7.7784220275179006E-2</v>
      </c>
      <c r="AN50" s="83">
        <v>87058.81</v>
      </c>
      <c r="AO50" s="103">
        <f t="shared" ref="AO50:AQ50" si="347">AN50/$AA50</f>
        <v>8.9270634834508408E-2</v>
      </c>
      <c r="AP50" s="83">
        <f>80617.9-20.86</f>
        <v>80597.039999999994</v>
      </c>
      <c r="AQ50" s="103">
        <f t="shared" si="347"/>
        <v>8.2644696459580225E-2</v>
      </c>
      <c r="AR50" s="83">
        <f>75649.88-13.73</f>
        <v>75636.150000000009</v>
      </c>
      <c r="AS50" s="103">
        <f t="shared" ref="AS50" si="348">AR50/$AA50</f>
        <v>7.7557769592050518E-2</v>
      </c>
      <c r="AT50" s="83">
        <f>84904.17-934.68</f>
        <v>83969.49</v>
      </c>
      <c r="AU50" s="103">
        <f t="shared" ref="AU50" si="349">AT50/$AA50</f>
        <v>8.6102827261593698E-2</v>
      </c>
      <c r="AV50" s="83">
        <f>90141.1-10.84</f>
        <v>90130.260000000009</v>
      </c>
      <c r="AW50" s="103">
        <f t="shared" ref="AW50:BC50" si="350">AV50/$AA50</f>
        <v>9.2420118400415779E-2</v>
      </c>
      <c r="AX50" s="83"/>
      <c r="AY50" s="103">
        <f t="shared" si="350"/>
        <v>0</v>
      </c>
      <c r="AZ50" s="83"/>
      <c r="BA50" s="103">
        <f t="shared" si="350"/>
        <v>0</v>
      </c>
      <c r="BB50" s="83"/>
      <c r="BC50" s="103">
        <f t="shared" si="350"/>
        <v>0</v>
      </c>
      <c r="BD50" s="104">
        <f t="shared" ref="BD50:BD61" si="351">AF50+AH50+AJ50+AL50+AN50+AP50+AR50+AT50+AV50+AX50+AZ50+BB50</f>
        <v>739862.35</v>
      </c>
      <c r="BE50" s="103">
        <f t="shared" ref="BE50" si="352">BD50/$AA50</f>
        <v>0.75865936686535518</v>
      </c>
    </row>
    <row r="51" spans="1:57" x14ac:dyDescent="0.25">
      <c r="A51" s="60" t="s">
        <v>104</v>
      </c>
      <c r="B51" s="61"/>
      <c r="C51" s="38"/>
      <c r="D51" s="38"/>
      <c r="E51" s="35">
        <f t="shared" si="324"/>
        <v>0</v>
      </c>
      <c r="F51" s="38"/>
      <c r="G51" s="38"/>
      <c r="H51" s="38"/>
      <c r="I51" s="38"/>
      <c r="J51" s="38"/>
      <c r="K51" s="38"/>
      <c r="L51" s="38"/>
      <c r="M51" s="75"/>
      <c r="N51" s="38"/>
      <c r="O51" s="75" t="e">
        <f t="shared" si="40"/>
        <v>#DIV/0!</v>
      </c>
      <c r="P51" s="38"/>
      <c r="Q51" s="75" t="e">
        <f t="shared" si="16"/>
        <v>#DIV/0!</v>
      </c>
      <c r="R51" s="38"/>
      <c r="S51" s="38"/>
      <c r="T51" s="38"/>
      <c r="U51" s="75"/>
      <c r="V51" s="38">
        <f t="shared" si="343"/>
        <v>0</v>
      </c>
      <c r="W51" s="75" t="e">
        <f t="shared" si="8"/>
        <v>#DIV/0!</v>
      </c>
      <c r="X51" s="38">
        <f t="shared" si="17"/>
        <v>0</v>
      </c>
      <c r="Y51" s="83">
        <f t="shared" si="344"/>
        <v>0</v>
      </c>
      <c r="Z51" s="83">
        <v>0</v>
      </c>
      <c r="AA51" s="83">
        <f t="shared" si="345"/>
        <v>0</v>
      </c>
      <c r="AB51" s="81">
        <f t="shared" si="70"/>
        <v>0</v>
      </c>
      <c r="AF51" s="83"/>
      <c r="AG51" s="103"/>
      <c r="AH51" s="96"/>
      <c r="AI51" s="103"/>
      <c r="AJ51" s="83"/>
      <c r="AK51" s="103"/>
      <c r="AL51" s="83"/>
      <c r="AM51" s="103"/>
      <c r="AN51" s="83"/>
      <c r="AO51" s="103"/>
      <c r="AP51" s="83"/>
      <c r="AQ51" s="103"/>
      <c r="AR51" s="83"/>
      <c r="AS51" s="103"/>
      <c r="AT51" s="83"/>
      <c r="AU51" s="103"/>
      <c r="AV51" s="83"/>
      <c r="AW51" s="103"/>
      <c r="AX51" s="83"/>
      <c r="AY51" s="103"/>
      <c r="AZ51" s="83"/>
      <c r="BA51" s="103"/>
      <c r="BB51" s="83"/>
      <c r="BC51" s="103"/>
      <c r="BD51" s="104">
        <f t="shared" si="351"/>
        <v>0</v>
      </c>
      <c r="BE51" s="103"/>
    </row>
    <row r="52" spans="1:57" x14ac:dyDescent="0.25">
      <c r="A52" s="60" t="s">
        <v>30</v>
      </c>
      <c r="B52" s="61">
        <v>17522.419999999998</v>
      </c>
      <c r="C52" s="38">
        <v>4900</v>
      </c>
      <c r="D52" s="38">
        <f t="shared" ref="D52:D61" si="353">C52*12</f>
        <v>58800</v>
      </c>
      <c r="E52" s="35">
        <f t="shared" si="324"/>
        <v>2.3557008678025069</v>
      </c>
      <c r="F52" s="38">
        <v>1233.3</v>
      </c>
      <c r="G52" s="38">
        <v>520</v>
      </c>
      <c r="H52" s="38">
        <v>487.55</v>
      </c>
      <c r="I52" s="38">
        <v>41222.75</v>
      </c>
      <c r="J52" s="38">
        <v>2690.55</v>
      </c>
      <c r="K52" s="38">
        <v>980</v>
      </c>
      <c r="L52" s="38">
        <v>284</v>
      </c>
      <c r="M52" s="75">
        <f t="shared" si="15"/>
        <v>5.7959183673469389E-2</v>
      </c>
      <c r="N52" s="38">
        <v>2000</v>
      </c>
      <c r="O52" s="75">
        <f t="shared" si="40"/>
        <v>0.40816326530612246</v>
      </c>
      <c r="P52" s="38">
        <v>1500</v>
      </c>
      <c r="Q52" s="75">
        <f t="shared" si="16"/>
        <v>0.30612244897959184</v>
      </c>
      <c r="R52" s="38"/>
      <c r="S52" s="38"/>
      <c r="T52" s="38"/>
      <c r="U52" s="75">
        <f t="shared" ref="U52:U69" si="354">T52/I52</f>
        <v>0</v>
      </c>
      <c r="V52" s="38">
        <f t="shared" si="343"/>
        <v>50918.150000000009</v>
      </c>
      <c r="W52" s="75">
        <f t="shared" si="8"/>
        <v>0.86595493197278928</v>
      </c>
      <c r="X52" s="38">
        <f t="shared" si="17"/>
        <v>5657.572222222223</v>
      </c>
      <c r="Y52" s="83">
        <f t="shared" si="344"/>
        <v>5997.0265555555561</v>
      </c>
      <c r="Z52" s="83">
        <v>6223.3294444444455</v>
      </c>
      <c r="AA52" s="83">
        <f t="shared" si="345"/>
        <v>74679.953333333338</v>
      </c>
      <c r="AB52" s="81">
        <f t="shared" si="70"/>
        <v>1261.3333333333333</v>
      </c>
      <c r="AF52" s="83"/>
      <c r="AG52" s="103">
        <f t="shared" si="21"/>
        <v>0</v>
      </c>
      <c r="AH52" s="96"/>
      <c r="AI52" s="103">
        <f t="shared" si="21"/>
        <v>0</v>
      </c>
      <c r="AJ52" s="83"/>
      <c r="AK52" s="103">
        <f t="shared" ref="AK52:AM52" si="355">AJ52/$AA52</f>
        <v>0</v>
      </c>
      <c r="AL52" s="83">
        <v>44981</v>
      </c>
      <c r="AM52" s="103">
        <f t="shared" si="355"/>
        <v>0.60231692699682993</v>
      </c>
      <c r="AN52" s="83">
        <v>1500</v>
      </c>
      <c r="AO52" s="103">
        <f t="shared" ref="AO52:AQ52" si="356">AN52/$AA52</f>
        <v>2.0085711533652982E-2</v>
      </c>
      <c r="AP52" s="83">
        <v>1250</v>
      </c>
      <c r="AQ52" s="103">
        <f t="shared" si="356"/>
        <v>1.673809294471082E-2</v>
      </c>
      <c r="AR52" s="83"/>
      <c r="AS52" s="103">
        <f t="shared" ref="AS52" si="357">AR52/$AA52</f>
        <v>0</v>
      </c>
      <c r="AT52" s="83">
        <v>400</v>
      </c>
      <c r="AU52" s="103">
        <f t="shared" ref="AU52" si="358">AT52/$AA52</f>
        <v>5.3561897423074619E-3</v>
      </c>
      <c r="AV52" s="83">
        <v>500</v>
      </c>
      <c r="AW52" s="103">
        <f t="shared" ref="AW52:BC52" si="359">AV52/$AA52</f>
        <v>6.6952371778843276E-3</v>
      </c>
      <c r="AX52" s="83"/>
      <c r="AY52" s="103">
        <f t="shared" si="359"/>
        <v>0</v>
      </c>
      <c r="AZ52" s="83"/>
      <c r="BA52" s="103">
        <f t="shared" si="359"/>
        <v>0</v>
      </c>
      <c r="BB52" s="83"/>
      <c r="BC52" s="103">
        <f t="shared" si="359"/>
        <v>0</v>
      </c>
      <c r="BD52" s="104">
        <f t="shared" si="351"/>
        <v>48631</v>
      </c>
      <c r="BE52" s="103">
        <f t="shared" ref="BE52" si="360">BD52/$AA52</f>
        <v>0.65119215839538547</v>
      </c>
    </row>
    <row r="53" spans="1:57" x14ac:dyDescent="0.25">
      <c r="A53" s="60" t="s">
        <v>31</v>
      </c>
      <c r="B53" s="61">
        <v>403328.64</v>
      </c>
      <c r="C53" s="38">
        <v>28100</v>
      </c>
      <c r="D53" s="38">
        <f t="shared" si="353"/>
        <v>337200</v>
      </c>
      <c r="E53" s="35">
        <f t="shared" si="324"/>
        <v>-0.16395721365088289</v>
      </c>
      <c r="F53" s="38">
        <f>22795.44+7151.51+956.63-203.28</f>
        <v>30700.3</v>
      </c>
      <c r="G53" s="38">
        <f>20687.09-252.95+6490.06+915.06</f>
        <v>27839.260000000002</v>
      </c>
      <c r="H53" s="38">
        <f>20486+6426.98+920.89</f>
        <v>27833.87</v>
      </c>
      <c r="I53" s="38">
        <f>30035.51+9583.11+1286.44</f>
        <v>40905.06</v>
      </c>
      <c r="J53" s="38">
        <f>23573.75+7523.06+1120.6</f>
        <v>32217.41</v>
      </c>
      <c r="K53" s="38">
        <f>21682.9+6802.49+944.63</f>
        <v>29430.02</v>
      </c>
      <c r="L53" s="38">
        <f>22070.68+6924.16+932.83-72.71</f>
        <v>29854.960000000003</v>
      </c>
      <c r="M53" s="75">
        <f t="shared" si="15"/>
        <v>1.0624540925266905</v>
      </c>
      <c r="N53" s="38">
        <f>21048.07+6852.58+865.83-114.18</f>
        <v>28652.300000000003</v>
      </c>
      <c r="O53" s="75">
        <f t="shared" si="40"/>
        <v>1.0196548042704627</v>
      </c>
      <c r="P53" s="38">
        <f>23554.88+7389.79+1082.35</f>
        <v>32027.02</v>
      </c>
      <c r="Q53" s="75">
        <f t="shared" si="16"/>
        <v>1.1397516014234876</v>
      </c>
      <c r="R53" s="38"/>
      <c r="S53" s="38"/>
      <c r="T53" s="38"/>
      <c r="U53" s="75">
        <f t="shared" si="354"/>
        <v>0</v>
      </c>
      <c r="V53" s="38">
        <f t="shared" si="343"/>
        <v>279460.2</v>
      </c>
      <c r="W53" s="75">
        <f t="shared" si="8"/>
        <v>0.82876690391459074</v>
      </c>
      <c r="X53" s="38">
        <f t="shared" si="17"/>
        <v>31051.133333333335</v>
      </c>
      <c r="Y53" s="83">
        <f t="shared" si="344"/>
        <v>32914.201333333338</v>
      </c>
      <c r="Z53" s="83">
        <v>34156.246666666666</v>
      </c>
      <c r="AA53" s="83">
        <f t="shared" si="345"/>
        <v>409874.95999999996</v>
      </c>
      <c r="AB53" s="81">
        <f t="shared" si="70"/>
        <v>30178.093333333338</v>
      </c>
      <c r="AF53" s="83">
        <f>22417.31+7032.91+949.41-71.64</f>
        <v>30327.99</v>
      </c>
      <c r="AG53" s="103">
        <f t="shared" si="21"/>
        <v>7.399327346076473E-2</v>
      </c>
      <c r="AH53" s="96">
        <f>24866.6+8114.55+1063.14</f>
        <v>34044.29</v>
      </c>
      <c r="AI53" s="103">
        <f t="shared" si="21"/>
        <v>8.3060184989100103E-2</v>
      </c>
      <c r="AJ53" s="83">
        <f>21241.99+6986.99+902.69-29.65</f>
        <v>29102.02</v>
      </c>
      <c r="AK53" s="103">
        <f t="shared" ref="AK53:AM53" si="361">AJ53/$AA53</f>
        <v>7.1002190521714234E-2</v>
      </c>
      <c r="AL53" s="83">
        <f>28508.44+7281.99+909.13-47.88</f>
        <v>36651.68</v>
      </c>
      <c r="AM53" s="103">
        <f t="shared" si="361"/>
        <v>8.9421612874326359E-2</v>
      </c>
      <c r="AN53" s="83">
        <f>29214.55+11666.31+1130.68</f>
        <v>42011.54</v>
      </c>
      <c r="AO53" s="103">
        <f t="shared" ref="AO53:AQ53" si="362">AN53/$AA53</f>
        <v>0.10249843025297277</v>
      </c>
      <c r="AP53" s="83">
        <f>74071.19-51070.94+23929.76-16022.24+803.05</f>
        <v>31710.819999999996</v>
      </c>
      <c r="AQ53" s="103">
        <f t="shared" si="362"/>
        <v>7.7367058480469264E-2</v>
      </c>
      <c r="AR53" s="83">
        <f>21574.77-8671.99+7460.27+846.06</f>
        <v>21209.110000000004</v>
      </c>
      <c r="AS53" s="103">
        <f t="shared" ref="AS53" si="363">AR53/$AA53</f>
        <v>5.1745317645166725E-2</v>
      </c>
      <c r="AT53" s="83">
        <f>20218.54+6941.94+1775.65</f>
        <v>28936.13</v>
      </c>
      <c r="AU53" s="103">
        <f t="shared" ref="AU53" si="364">AT53/$AA53</f>
        <v>7.0597457331865315E-2</v>
      </c>
      <c r="AV53" s="83">
        <f>22829.36+19586.48+862.67</f>
        <v>43278.509999999995</v>
      </c>
      <c r="AW53" s="103">
        <f t="shared" ref="AW53:BC53" si="365">AV53/$AA53</f>
        <v>0.10558954369888807</v>
      </c>
      <c r="AX53" s="83"/>
      <c r="AY53" s="103">
        <f t="shared" si="365"/>
        <v>0</v>
      </c>
      <c r="AZ53" s="83"/>
      <c r="BA53" s="103">
        <f t="shared" si="365"/>
        <v>0</v>
      </c>
      <c r="BB53" s="83"/>
      <c r="BC53" s="103">
        <f t="shared" si="365"/>
        <v>0</v>
      </c>
      <c r="BD53" s="104">
        <f t="shared" si="351"/>
        <v>297272.09000000003</v>
      </c>
      <c r="BE53" s="103">
        <f t="shared" ref="BE53" si="366">BD53/$AA53</f>
        <v>0.72527506925526763</v>
      </c>
    </row>
    <row r="54" spans="1:57" x14ac:dyDescent="0.25">
      <c r="A54" s="98" t="s">
        <v>32</v>
      </c>
      <c r="B54" s="99">
        <v>13000</v>
      </c>
      <c r="C54" s="46">
        <v>1700</v>
      </c>
      <c r="D54" s="46">
        <f t="shared" si="353"/>
        <v>20400</v>
      </c>
      <c r="E54" s="95">
        <f t="shared" si="324"/>
        <v>0.56923076923076921</v>
      </c>
      <c r="F54" s="46"/>
      <c r="G54" s="46"/>
      <c r="H54" s="46"/>
      <c r="I54" s="46"/>
      <c r="J54" s="46"/>
      <c r="K54" s="46"/>
      <c r="L54" s="46"/>
      <c r="M54" s="76">
        <f t="shared" si="15"/>
        <v>0</v>
      </c>
      <c r="N54" s="46"/>
      <c r="O54" s="76">
        <f t="shared" si="40"/>
        <v>0</v>
      </c>
      <c r="P54" s="46"/>
      <c r="Q54" s="76">
        <f t="shared" si="16"/>
        <v>0</v>
      </c>
      <c r="R54" s="46"/>
      <c r="S54" s="46"/>
      <c r="T54" s="46"/>
      <c r="U54" s="76" t="e">
        <f t="shared" si="354"/>
        <v>#DIV/0!</v>
      </c>
      <c r="V54" s="46">
        <f t="shared" si="343"/>
        <v>0</v>
      </c>
      <c r="W54" s="76">
        <f t="shared" si="8"/>
        <v>0</v>
      </c>
      <c r="X54" s="46">
        <f t="shared" si="17"/>
        <v>0</v>
      </c>
      <c r="Y54" s="96">
        <f t="shared" si="344"/>
        <v>0</v>
      </c>
      <c r="Z54" s="96">
        <v>2085</v>
      </c>
      <c r="AA54" s="96">
        <f t="shared" si="345"/>
        <v>25020</v>
      </c>
      <c r="AB54" s="81">
        <f t="shared" si="70"/>
        <v>0</v>
      </c>
      <c r="AF54" s="96"/>
      <c r="AG54" s="102">
        <f t="shared" si="21"/>
        <v>0</v>
      </c>
      <c r="AH54" s="96"/>
      <c r="AI54" s="102">
        <f t="shared" si="21"/>
        <v>0</v>
      </c>
      <c r="AJ54" s="96"/>
      <c r="AK54" s="102">
        <f t="shared" ref="AK54:AM54" si="367">AJ54/$AA54</f>
        <v>0</v>
      </c>
      <c r="AL54" s="96"/>
      <c r="AM54" s="102">
        <f t="shared" si="367"/>
        <v>0</v>
      </c>
      <c r="AN54" s="96"/>
      <c r="AO54" s="102">
        <f t="shared" ref="AO54:AQ54" si="368">AN54/$AA54</f>
        <v>0</v>
      </c>
      <c r="AP54" s="96"/>
      <c r="AQ54" s="102">
        <f t="shared" si="368"/>
        <v>0</v>
      </c>
      <c r="AR54" s="96"/>
      <c r="AS54" s="102">
        <f t="shared" ref="AS54" si="369">AR54/$AA54</f>
        <v>0</v>
      </c>
      <c r="AT54" s="96"/>
      <c r="AU54" s="102">
        <f t="shared" ref="AU54" si="370">AT54/$AA54</f>
        <v>0</v>
      </c>
      <c r="AV54" s="96"/>
      <c r="AW54" s="102">
        <f t="shared" ref="AW54:BC54" si="371">AV54/$AA54</f>
        <v>0</v>
      </c>
      <c r="AX54" s="96"/>
      <c r="AY54" s="102">
        <f t="shared" si="371"/>
        <v>0</v>
      </c>
      <c r="AZ54" s="96"/>
      <c r="BA54" s="102">
        <f t="shared" si="371"/>
        <v>0</v>
      </c>
      <c r="BB54" s="96"/>
      <c r="BC54" s="102">
        <f t="shared" si="371"/>
        <v>0</v>
      </c>
      <c r="BD54" s="104">
        <f t="shared" si="351"/>
        <v>0</v>
      </c>
      <c r="BE54" s="102">
        <f t="shared" ref="BE54" si="372">BD54/$AA54</f>
        <v>0</v>
      </c>
    </row>
    <row r="55" spans="1:57" x14ac:dyDescent="0.25">
      <c r="A55" s="98" t="s">
        <v>33</v>
      </c>
      <c r="B55" s="99">
        <v>147342.54</v>
      </c>
      <c r="C55" s="46">
        <v>2950</v>
      </c>
      <c r="D55" s="46">
        <f t="shared" si="353"/>
        <v>35400</v>
      </c>
      <c r="E55" s="95">
        <f t="shared" si="324"/>
        <v>-0.75974352009949064</v>
      </c>
      <c r="F55" s="46">
        <f>16496.77</f>
        <v>16496.77</v>
      </c>
      <c r="G55" s="46">
        <v>14763.24</v>
      </c>
      <c r="H55" s="46">
        <v>6863.64</v>
      </c>
      <c r="I55" s="46">
        <f>2002.5+5737.6</f>
        <v>7740.1</v>
      </c>
      <c r="J55" s="46">
        <f>4600.81</f>
        <v>4600.8100000000004</v>
      </c>
      <c r="K55" s="46">
        <v>9126.99</v>
      </c>
      <c r="L55" s="46">
        <v>15572.5</v>
      </c>
      <c r="M55" s="76">
        <f t="shared" si="15"/>
        <v>5.2788135593220336</v>
      </c>
      <c r="N55" s="46">
        <f>3916.16</f>
        <v>3916.16</v>
      </c>
      <c r="O55" s="76">
        <f t="shared" si="40"/>
        <v>1.3275118644067796</v>
      </c>
      <c r="P55" s="46">
        <f>19672.88</f>
        <v>19672.88</v>
      </c>
      <c r="Q55" s="76">
        <f t="shared" si="16"/>
        <v>6.6687728813559328</v>
      </c>
      <c r="R55" s="46"/>
      <c r="S55" s="46"/>
      <c r="T55" s="46"/>
      <c r="U55" s="76">
        <f t="shared" si="354"/>
        <v>0</v>
      </c>
      <c r="V55" s="46">
        <f t="shared" si="343"/>
        <v>98753.090000000011</v>
      </c>
      <c r="W55" s="76">
        <f t="shared" si="8"/>
        <v>2.7896353107344636</v>
      </c>
      <c r="X55" s="46">
        <f t="shared" si="17"/>
        <v>10972.565555555557</v>
      </c>
      <c r="Y55" s="96">
        <f t="shared" si="344"/>
        <v>11630.919488888891</v>
      </c>
      <c r="Z55" s="96">
        <v>2950</v>
      </c>
      <c r="AA55" s="96">
        <f t="shared" si="345"/>
        <v>35400</v>
      </c>
      <c r="AB55" s="81">
        <f t="shared" si="70"/>
        <v>13053.846666666666</v>
      </c>
      <c r="AF55" s="96">
        <f>8128.25</f>
        <v>8128.25</v>
      </c>
      <c r="AG55" s="102">
        <f t="shared" si="21"/>
        <v>0.22961158192090395</v>
      </c>
      <c r="AH55" s="96">
        <v>7039.54</v>
      </c>
      <c r="AI55" s="102">
        <f t="shared" si="21"/>
        <v>0.19885706214689267</v>
      </c>
      <c r="AJ55" s="96">
        <v>11201.12</v>
      </c>
      <c r="AK55" s="102">
        <f t="shared" ref="AK55:AM55" si="373">AJ55/$AA55</f>
        <v>0.31641581920903955</v>
      </c>
      <c r="AL55" s="96">
        <v>9275.3700000000008</v>
      </c>
      <c r="AM55" s="102">
        <f t="shared" si="373"/>
        <v>0.26201610169491529</v>
      </c>
      <c r="AN55" s="96">
        <v>3610.25</v>
      </c>
      <c r="AO55" s="102">
        <f t="shared" ref="AO55:AQ55" si="374">AN55/$AA55</f>
        <v>0.10198446327683616</v>
      </c>
      <c r="AP55" s="96">
        <v>6043.06</v>
      </c>
      <c r="AQ55" s="102">
        <f t="shared" si="374"/>
        <v>0.17070790960451979</v>
      </c>
      <c r="AR55" s="96">
        <v>16244.4</v>
      </c>
      <c r="AS55" s="102">
        <f t="shared" ref="AS55" si="375">AR55/$AA55</f>
        <v>0.45888135593220336</v>
      </c>
      <c r="AT55" s="96">
        <f>3101.53</f>
        <v>3101.53</v>
      </c>
      <c r="AU55" s="102">
        <f t="shared" ref="AU55" si="376">AT55/$AA55</f>
        <v>8.7613841807909612E-2</v>
      </c>
      <c r="AV55" s="96">
        <f>2481.62</f>
        <v>2481.62</v>
      </c>
      <c r="AW55" s="102">
        <f t="shared" ref="AW55:BC55" si="377">AV55/$AA55</f>
        <v>7.010225988700565E-2</v>
      </c>
      <c r="AX55" s="96"/>
      <c r="AY55" s="102">
        <f t="shared" si="377"/>
        <v>0</v>
      </c>
      <c r="AZ55" s="96"/>
      <c r="BA55" s="102">
        <f t="shared" si="377"/>
        <v>0</v>
      </c>
      <c r="BB55" s="96"/>
      <c r="BC55" s="102">
        <f t="shared" si="377"/>
        <v>0</v>
      </c>
      <c r="BD55" s="104">
        <f t="shared" si="351"/>
        <v>67125.14</v>
      </c>
      <c r="BE55" s="102">
        <f t="shared" ref="BE55" si="378">BD55/$AA55</f>
        <v>1.8961903954802259</v>
      </c>
    </row>
    <row r="56" spans="1:57" x14ac:dyDescent="0.25">
      <c r="A56" s="98" t="s">
        <v>34</v>
      </c>
      <c r="B56" s="99">
        <v>97692.94</v>
      </c>
      <c r="C56" s="46">
        <v>8800</v>
      </c>
      <c r="D56" s="46">
        <f t="shared" si="353"/>
        <v>105600</v>
      </c>
      <c r="E56" s="95">
        <f t="shared" si="324"/>
        <v>8.0937885583134195E-2</v>
      </c>
      <c r="F56" s="46"/>
      <c r="G56" s="46"/>
      <c r="H56" s="46"/>
      <c r="I56" s="46"/>
      <c r="J56" s="46"/>
      <c r="K56" s="46"/>
      <c r="L56" s="46"/>
      <c r="M56" s="76">
        <f t="shared" si="15"/>
        <v>0</v>
      </c>
      <c r="N56" s="46"/>
      <c r="O56" s="76">
        <f t="shared" si="40"/>
        <v>0</v>
      </c>
      <c r="P56" s="46"/>
      <c r="Q56" s="76">
        <f t="shared" si="16"/>
        <v>0</v>
      </c>
      <c r="R56" s="46"/>
      <c r="S56" s="46"/>
      <c r="T56" s="46"/>
      <c r="U56" s="76" t="e">
        <f t="shared" si="354"/>
        <v>#DIV/0!</v>
      </c>
      <c r="V56" s="46">
        <f t="shared" si="343"/>
        <v>0</v>
      </c>
      <c r="W56" s="76">
        <f t="shared" si="8"/>
        <v>0</v>
      </c>
      <c r="X56" s="46">
        <f t="shared" si="17"/>
        <v>0</v>
      </c>
      <c r="Y56" s="96">
        <f t="shared" si="344"/>
        <v>0</v>
      </c>
      <c r="Z56" s="96">
        <v>9680</v>
      </c>
      <c r="AA56" s="96">
        <f t="shared" si="345"/>
        <v>116160</v>
      </c>
      <c r="AB56" s="81">
        <f t="shared" si="70"/>
        <v>0</v>
      </c>
      <c r="AF56" s="96"/>
      <c r="AG56" s="102">
        <f t="shared" si="21"/>
        <v>0</v>
      </c>
      <c r="AH56" s="96"/>
      <c r="AI56" s="102">
        <f t="shared" si="21"/>
        <v>0</v>
      </c>
      <c r="AJ56" s="96"/>
      <c r="AK56" s="102">
        <f t="shared" ref="AK56:AM56" si="379">AJ56/$AA56</f>
        <v>0</v>
      </c>
      <c r="AL56" s="96"/>
      <c r="AM56" s="102">
        <f t="shared" si="379"/>
        <v>0</v>
      </c>
      <c r="AN56" s="96"/>
      <c r="AO56" s="102">
        <f t="shared" ref="AO56:AQ56" si="380">AN56/$AA56</f>
        <v>0</v>
      </c>
      <c r="AP56" s="96"/>
      <c r="AQ56" s="102">
        <f t="shared" si="380"/>
        <v>0</v>
      </c>
      <c r="AR56" s="96"/>
      <c r="AS56" s="102">
        <f t="shared" ref="AS56" si="381">AR56/$AA56</f>
        <v>0</v>
      </c>
      <c r="AT56" s="96"/>
      <c r="AU56" s="102">
        <f t="shared" ref="AU56" si="382">AT56/$AA56</f>
        <v>0</v>
      </c>
      <c r="AV56" s="96"/>
      <c r="AW56" s="102">
        <f t="shared" ref="AW56:BC56" si="383">AV56/$AA56</f>
        <v>0</v>
      </c>
      <c r="AX56" s="96"/>
      <c r="AY56" s="102">
        <f t="shared" si="383"/>
        <v>0</v>
      </c>
      <c r="AZ56" s="96"/>
      <c r="BA56" s="102">
        <f t="shared" si="383"/>
        <v>0</v>
      </c>
      <c r="BB56" s="96"/>
      <c r="BC56" s="102">
        <f t="shared" si="383"/>
        <v>0</v>
      </c>
      <c r="BD56" s="104">
        <f t="shared" si="351"/>
        <v>0</v>
      </c>
      <c r="BE56" s="102">
        <f t="shared" ref="BE56" si="384">BD56/$AA56</f>
        <v>0</v>
      </c>
    </row>
    <row r="57" spans="1:57" ht="15.75" customHeight="1" x14ac:dyDescent="0.25">
      <c r="A57" s="98" t="s">
        <v>100</v>
      </c>
      <c r="B57" s="99">
        <v>40325.67</v>
      </c>
      <c r="C57" s="46">
        <v>2500</v>
      </c>
      <c r="D57" s="46">
        <f t="shared" si="353"/>
        <v>30000</v>
      </c>
      <c r="E57" s="95">
        <f t="shared" si="324"/>
        <v>-0.25605699793704606</v>
      </c>
      <c r="F57" s="46">
        <f>415.38-363.06+1956.6-30</f>
        <v>1978.9199999999998</v>
      </c>
      <c r="G57" s="46">
        <f>260.22-356.58+1882.8-30</f>
        <v>1756.44</v>
      </c>
      <c r="H57" s="46">
        <f>405.24-363.06+1970.85-30</f>
        <v>1983.03</v>
      </c>
      <c r="I57" s="46">
        <f>435.99-363.06+1975.3-30</f>
        <v>2018.23</v>
      </c>
      <c r="J57" s="46">
        <f>455.79-354.12+1970.85-30</f>
        <v>2042.52</v>
      </c>
      <c r="K57" s="46">
        <f>347.92-373.44+1970.85-26</f>
        <v>1919.33</v>
      </c>
      <c r="L57" s="46">
        <f>465.61-257.52+1970.85-28</f>
        <v>2150.94</v>
      </c>
      <c r="M57" s="76">
        <f t="shared" si="15"/>
        <v>0.86037600000000003</v>
      </c>
      <c r="N57" s="46">
        <f>693.4-383.1+1970.85-28</f>
        <v>2253.1499999999996</v>
      </c>
      <c r="O57" s="76">
        <f t="shared" si="40"/>
        <v>0.90125999999999984</v>
      </c>
      <c r="P57" s="46">
        <f>693.11-363.78+1970.85-28</f>
        <v>2272.1799999999998</v>
      </c>
      <c r="Q57" s="76">
        <f t="shared" si="16"/>
        <v>0.9088719999999999</v>
      </c>
      <c r="R57" s="46"/>
      <c r="S57" s="46"/>
      <c r="T57" s="46"/>
      <c r="U57" s="76">
        <f t="shared" si="354"/>
        <v>0</v>
      </c>
      <c r="V57" s="46">
        <f t="shared" si="343"/>
        <v>18374.739999999998</v>
      </c>
      <c r="W57" s="76">
        <f t="shared" si="8"/>
        <v>0.61249133333333328</v>
      </c>
      <c r="X57" s="46">
        <f t="shared" si="17"/>
        <v>2041.6377777777775</v>
      </c>
      <c r="Y57" s="96">
        <f t="shared" si="344"/>
        <v>2164.136044444444</v>
      </c>
      <c r="Z57" s="96">
        <v>2245.8015555555553</v>
      </c>
      <c r="AA57" s="96">
        <f t="shared" si="345"/>
        <v>26949.618666666662</v>
      </c>
      <c r="AB57" s="81">
        <f t="shared" si="70"/>
        <v>2225.4233333333336</v>
      </c>
      <c r="AF57" s="96">
        <f>673.37-383.64+2566.24-26-218.01-160.39</f>
        <v>2451.5700000000002</v>
      </c>
      <c r="AG57" s="102">
        <f t="shared" si="21"/>
        <v>9.0968634114006533E-2</v>
      </c>
      <c r="AH57" s="96">
        <f>367.69-402.96+2405.85-28</f>
        <v>2342.58</v>
      </c>
      <c r="AI57" s="102">
        <f t="shared" si="21"/>
        <v>8.692442104561135E-2</v>
      </c>
      <c r="AJ57" s="96">
        <f>435.67-351.84+2578.24-26</f>
        <v>2636.0699999999997</v>
      </c>
      <c r="AK57" s="102">
        <f t="shared" ref="AK57:AM57" si="385">AJ57/$AA57</f>
        <v>9.7814742115831549E-2</v>
      </c>
      <c r="AL57" s="96">
        <f>485.17-338.1+2417.1-26</f>
        <v>2538.17</v>
      </c>
      <c r="AM57" s="102">
        <f t="shared" si="385"/>
        <v>9.4182037653074549E-2</v>
      </c>
      <c r="AN57" s="96">
        <f>495.07-402.59+2417.1-26</f>
        <v>2483.58</v>
      </c>
      <c r="AO57" s="102">
        <f t="shared" ref="AO57:AQ57" si="386">AN57/$AA57</f>
        <v>9.215640602261585E-2</v>
      </c>
      <c r="AP57" s="96">
        <f>247.54-422.28+2417.1-26</f>
        <v>2216.36</v>
      </c>
      <c r="AQ57" s="102">
        <f t="shared" si="386"/>
        <v>8.2240866834281515E-2</v>
      </c>
      <c r="AR57" s="96">
        <f>257.44-241.5+2417.1-26</f>
        <v>2407.04</v>
      </c>
      <c r="AS57" s="102">
        <f t="shared" ref="AS57" si="387">AR57/$AA57</f>
        <v>8.9316291624460351E-2</v>
      </c>
      <c r="AT57" s="96">
        <f>246.81-427.31+2417.1-28</f>
        <v>2208.6</v>
      </c>
      <c r="AU57" s="102">
        <f t="shared" ref="AU57" si="388">AT57/$AA57</f>
        <v>8.1952922129164094E-2</v>
      </c>
      <c r="AV57" s="96">
        <f>241.5+2250-425.04</f>
        <v>2066.46</v>
      </c>
      <c r="AW57" s="102">
        <f t="shared" ref="AW57:BC57" si="389">AV57/$AA57</f>
        <v>7.6678635997026373E-2</v>
      </c>
      <c r="AX57" s="96"/>
      <c r="AY57" s="102">
        <f t="shared" si="389"/>
        <v>0</v>
      </c>
      <c r="AZ57" s="96"/>
      <c r="BA57" s="102">
        <f t="shared" si="389"/>
        <v>0</v>
      </c>
      <c r="BB57" s="96"/>
      <c r="BC57" s="102">
        <f t="shared" si="389"/>
        <v>0</v>
      </c>
      <c r="BD57" s="104">
        <f t="shared" si="351"/>
        <v>21350.429999999997</v>
      </c>
      <c r="BE57" s="102">
        <f t="shared" ref="BE57" si="390">BD57/$AA57</f>
        <v>0.79223495753607198</v>
      </c>
    </row>
    <row r="58" spans="1:57" x14ac:dyDescent="0.25">
      <c r="A58" s="98" t="s">
        <v>101</v>
      </c>
      <c r="B58" s="99">
        <v>109434.62</v>
      </c>
      <c r="C58" s="46">
        <v>8390</v>
      </c>
      <c r="D58" s="46">
        <f t="shared" si="353"/>
        <v>100680</v>
      </c>
      <c r="E58" s="95">
        <f t="shared" si="324"/>
        <v>-7.9998632973733552E-2</v>
      </c>
      <c r="F58" s="46">
        <f>7133.94-30</f>
        <v>7103.94</v>
      </c>
      <c r="G58" s="46">
        <f>7696-30</f>
        <v>7666</v>
      </c>
      <c r="H58" s="46">
        <f>8372-30</f>
        <v>8342</v>
      </c>
      <c r="I58" s="46">
        <f>8424-30</f>
        <v>8394</v>
      </c>
      <c r="J58" s="46">
        <f>6916-30</f>
        <v>6886</v>
      </c>
      <c r="K58" s="46">
        <f>7785.06-26</f>
        <v>7759.06</v>
      </c>
      <c r="L58" s="46">
        <f>7410-28</f>
        <v>7382</v>
      </c>
      <c r="M58" s="76">
        <f t="shared" si="15"/>
        <v>0.87985697258641238</v>
      </c>
      <c r="N58" s="46">
        <f>7904-28</f>
        <v>7876</v>
      </c>
      <c r="O58" s="76">
        <f t="shared" si="40"/>
        <v>0.93873659117997621</v>
      </c>
      <c r="P58" s="46">
        <f>7540-28</f>
        <v>7512</v>
      </c>
      <c r="Q58" s="76">
        <f t="shared" si="16"/>
        <v>0.89535160905840283</v>
      </c>
      <c r="R58" s="46"/>
      <c r="S58" s="46"/>
      <c r="T58" s="46"/>
      <c r="U58" s="76">
        <f t="shared" si="354"/>
        <v>0</v>
      </c>
      <c r="V58" s="46">
        <f t="shared" si="343"/>
        <v>68921</v>
      </c>
      <c r="W58" s="76">
        <f t="shared" si="8"/>
        <v>0.68455502582439409</v>
      </c>
      <c r="X58" s="46">
        <f t="shared" si="17"/>
        <v>7657.8888888888887</v>
      </c>
      <c r="Y58" s="96">
        <f t="shared" si="344"/>
        <v>8117.362222222222</v>
      </c>
      <c r="Z58" s="96">
        <v>8423.677777777777</v>
      </c>
      <c r="AA58" s="96">
        <f t="shared" si="345"/>
        <v>101084.13333333333</v>
      </c>
      <c r="AB58" s="81">
        <f t="shared" si="70"/>
        <v>7590</v>
      </c>
      <c r="AF58" s="96">
        <f>8044.4-26-633.55</f>
        <v>7384.8499999999995</v>
      </c>
      <c r="AG58" s="102">
        <f t="shared" si="21"/>
        <v>7.3056470451676556E-2</v>
      </c>
      <c r="AH58" s="96">
        <f>7769.1-28</f>
        <v>7741.1</v>
      </c>
      <c r="AI58" s="102">
        <f t="shared" si="21"/>
        <v>7.6580762427601562E-2</v>
      </c>
      <c r="AJ58" s="96">
        <f>7273.24-26</f>
        <v>7247.24</v>
      </c>
      <c r="AK58" s="102">
        <f t="shared" ref="AK58:AM58" si="391">AJ58/$AA58</f>
        <v>7.1695129205902403E-2</v>
      </c>
      <c r="AL58" s="96">
        <f>7355.85-26</f>
        <v>7329.85</v>
      </c>
      <c r="AM58" s="102">
        <f t="shared" si="391"/>
        <v>7.2512369234340776E-2</v>
      </c>
      <c r="AN58" s="96">
        <v>7780.16</v>
      </c>
      <c r="AO58" s="102">
        <f t="shared" ref="AO58:AQ58" si="392">AN58/$AA58</f>
        <v>7.6967173219404036E-2</v>
      </c>
      <c r="AP58" s="96">
        <f>6474.25-52</f>
        <v>6422.25</v>
      </c>
      <c r="AQ58" s="102">
        <f t="shared" si="392"/>
        <v>6.3533709873359615E-2</v>
      </c>
      <c r="AR58" s="96">
        <f>7658.9-26</f>
        <v>7632.9</v>
      </c>
      <c r="AS58" s="102">
        <f t="shared" ref="AS58" si="393">AR58/$AA58</f>
        <v>7.5510366941860974E-2</v>
      </c>
      <c r="AT58" s="96">
        <f>7383.4-28</f>
        <v>7355.4</v>
      </c>
      <c r="AU58" s="102">
        <f t="shared" ref="AU58" si="394">AT58/$AA58</f>
        <v>7.276512898166676E-2</v>
      </c>
      <c r="AV58" s="96">
        <v>7163</v>
      </c>
      <c r="AW58" s="102">
        <f t="shared" ref="AW58:BC58" si="395">AV58/$AA58</f>
        <v>7.0861763995932109E-2</v>
      </c>
      <c r="AX58" s="96"/>
      <c r="AY58" s="102">
        <f t="shared" si="395"/>
        <v>0</v>
      </c>
      <c r="AZ58" s="96"/>
      <c r="BA58" s="102">
        <f t="shared" si="395"/>
        <v>0</v>
      </c>
      <c r="BB58" s="96"/>
      <c r="BC58" s="102">
        <f t="shared" si="395"/>
        <v>0</v>
      </c>
      <c r="BD58" s="104">
        <f t="shared" si="351"/>
        <v>66056.75</v>
      </c>
      <c r="BE58" s="102">
        <f t="shared" ref="BE58" si="396">BD58/$AA58</f>
        <v>0.65348287433174479</v>
      </c>
    </row>
    <row r="59" spans="1:57" x14ac:dyDescent="0.25">
      <c r="A59" s="98" t="s">
        <v>35</v>
      </c>
      <c r="B59" s="99">
        <v>4000</v>
      </c>
      <c r="C59" s="46">
        <v>700</v>
      </c>
      <c r="D59" s="46">
        <f t="shared" si="353"/>
        <v>8400</v>
      </c>
      <c r="E59" s="95">
        <f t="shared" si="324"/>
        <v>1.1000000000000001</v>
      </c>
      <c r="F59" s="46"/>
      <c r="G59" s="46"/>
      <c r="H59" s="46"/>
      <c r="I59" s="46"/>
      <c r="J59" s="46">
        <f>1970.85-30</f>
        <v>1940.85</v>
      </c>
      <c r="K59" s="46"/>
      <c r="L59" s="46"/>
      <c r="M59" s="76">
        <f t="shared" si="15"/>
        <v>0</v>
      </c>
      <c r="N59" s="46"/>
      <c r="O59" s="76">
        <f t="shared" si="40"/>
        <v>0</v>
      </c>
      <c r="P59" s="46"/>
      <c r="Q59" s="76">
        <f t="shared" si="16"/>
        <v>0</v>
      </c>
      <c r="R59" s="46"/>
      <c r="S59" s="46"/>
      <c r="T59" s="46"/>
      <c r="U59" s="76" t="e">
        <f t="shared" si="354"/>
        <v>#DIV/0!</v>
      </c>
      <c r="V59" s="46">
        <f t="shared" si="343"/>
        <v>1940.85</v>
      </c>
      <c r="W59" s="76">
        <f t="shared" si="8"/>
        <v>0.23105357142857141</v>
      </c>
      <c r="X59" s="46">
        <f t="shared" si="17"/>
        <v>215.64999999999998</v>
      </c>
      <c r="Y59" s="96">
        <f t="shared" si="344"/>
        <v>228.58899999999997</v>
      </c>
      <c r="Z59" s="96">
        <v>700</v>
      </c>
      <c r="AA59" s="96">
        <f t="shared" si="345"/>
        <v>8400</v>
      </c>
      <c r="AB59" s="81">
        <f t="shared" si="70"/>
        <v>0</v>
      </c>
      <c r="AF59" s="96"/>
      <c r="AG59" s="102">
        <f t="shared" si="21"/>
        <v>0</v>
      </c>
      <c r="AH59" s="96"/>
      <c r="AI59" s="102">
        <f t="shared" si="21"/>
        <v>0</v>
      </c>
      <c r="AJ59" s="96"/>
      <c r="AK59" s="102">
        <f t="shared" ref="AK59:AM59" si="397">AJ59/$AA59</f>
        <v>0</v>
      </c>
      <c r="AL59" s="96"/>
      <c r="AM59" s="102">
        <f t="shared" si="397"/>
        <v>0</v>
      </c>
      <c r="AN59" s="96"/>
      <c r="AO59" s="102">
        <f t="shared" ref="AO59:AQ59" si="398">AN59/$AA59</f>
        <v>0</v>
      </c>
      <c r="AP59" s="96"/>
      <c r="AQ59" s="102">
        <f t="shared" si="398"/>
        <v>0</v>
      </c>
      <c r="AR59" s="96"/>
      <c r="AS59" s="102">
        <f t="shared" ref="AS59" si="399">AR59/$AA59</f>
        <v>0</v>
      </c>
      <c r="AT59" s="96"/>
      <c r="AU59" s="102">
        <f t="shared" ref="AU59" si="400">AT59/$AA59</f>
        <v>0</v>
      </c>
      <c r="AV59" s="96"/>
      <c r="AW59" s="102">
        <f t="shared" ref="AW59:BC59" si="401">AV59/$AA59</f>
        <v>0</v>
      </c>
      <c r="AX59" s="96"/>
      <c r="AY59" s="102">
        <f t="shared" si="401"/>
        <v>0</v>
      </c>
      <c r="AZ59" s="96"/>
      <c r="BA59" s="102">
        <f t="shared" si="401"/>
        <v>0</v>
      </c>
      <c r="BB59" s="96"/>
      <c r="BC59" s="102">
        <f t="shared" si="401"/>
        <v>0</v>
      </c>
      <c r="BD59" s="104">
        <f t="shared" si="351"/>
        <v>0</v>
      </c>
      <c r="BE59" s="102">
        <f t="shared" ref="BE59" si="402">BD59/$AA59</f>
        <v>0</v>
      </c>
    </row>
    <row r="60" spans="1:57" x14ac:dyDescent="0.25">
      <c r="A60" s="98" t="s">
        <v>36</v>
      </c>
      <c r="B60" s="99">
        <v>11227.5</v>
      </c>
      <c r="C60" s="46">
        <v>1200</v>
      </c>
      <c r="D60" s="46">
        <f t="shared" si="353"/>
        <v>14400</v>
      </c>
      <c r="E60" s="95">
        <f t="shared" si="324"/>
        <v>0.28256513026052099</v>
      </c>
      <c r="F60" s="46">
        <f>1943.12-530</f>
        <v>1413.12</v>
      </c>
      <c r="G60" s="46">
        <f>1943.12-555.18</f>
        <v>1387.94</v>
      </c>
      <c r="H60" s="46">
        <f>1943.12-555.18</f>
        <v>1387.94</v>
      </c>
      <c r="I60" s="46">
        <f>1961.74-624.19</f>
        <v>1337.55</v>
      </c>
      <c r="J60" s="46">
        <f>1337.55+8722-233.12</f>
        <v>9826.4299999999985</v>
      </c>
      <c r="K60" s="46">
        <f>1337.55+1951.5</f>
        <v>3289.05</v>
      </c>
      <c r="L60" s="46">
        <f>1337.55+1043.46-124.63</f>
        <v>2256.38</v>
      </c>
      <c r="M60" s="76">
        <f t="shared" si="15"/>
        <v>1.8803166666666669</v>
      </c>
      <c r="N60" s="46">
        <f>1324.85+241.4</f>
        <v>1566.25</v>
      </c>
      <c r="O60" s="76">
        <f t="shared" si="40"/>
        <v>1.3052083333333333</v>
      </c>
      <c r="P60" s="46">
        <f>1387.94+240</f>
        <v>1627.94</v>
      </c>
      <c r="Q60" s="76">
        <f t="shared" si="16"/>
        <v>1.3566166666666668</v>
      </c>
      <c r="R60" s="46"/>
      <c r="S60" s="46"/>
      <c r="T60" s="46"/>
      <c r="U60" s="76">
        <f t="shared" si="354"/>
        <v>0</v>
      </c>
      <c r="V60" s="46">
        <f t="shared" si="343"/>
        <v>24092.599999999991</v>
      </c>
      <c r="W60" s="76">
        <f t="shared" si="8"/>
        <v>1.6730972222222216</v>
      </c>
      <c r="X60" s="46">
        <f t="shared" si="17"/>
        <v>2676.9555555555544</v>
      </c>
      <c r="Y60" s="96">
        <f t="shared" si="344"/>
        <v>2837.5728888888875</v>
      </c>
      <c r="Z60" s="96">
        <v>2944.6511111111099</v>
      </c>
      <c r="AA60" s="96">
        <f t="shared" si="345"/>
        <v>35335.813333333317</v>
      </c>
      <c r="AB60" s="81">
        <f t="shared" si="70"/>
        <v>1816.8566666666666</v>
      </c>
      <c r="AF60" s="96">
        <v>1410.39</v>
      </c>
      <c r="AG60" s="102">
        <f t="shared" si="21"/>
        <v>3.9913896609521014E-2</v>
      </c>
      <c r="AH60" s="96">
        <v>1410.38</v>
      </c>
      <c r="AI60" s="102">
        <f t="shared" si="21"/>
        <v>3.9913613610516416E-2</v>
      </c>
      <c r="AJ60" s="96">
        <v>1410.38</v>
      </c>
      <c r="AK60" s="102">
        <f t="shared" ref="AK60:AM60" si="403">AJ60/$AA60</f>
        <v>3.9913613610516416E-2</v>
      </c>
      <c r="AL60" s="96">
        <f>1551.41</f>
        <v>1551.41</v>
      </c>
      <c r="AM60" s="102">
        <f t="shared" si="403"/>
        <v>4.3904748572364379E-2</v>
      </c>
      <c r="AN60" s="96">
        <v>1459.98</v>
      </c>
      <c r="AO60" s="102">
        <f t="shared" ref="AO60:AQ60" si="404">AN60/$AA60</f>
        <v>4.1317288673323328E-2</v>
      </c>
      <c r="AP60" s="96">
        <f>1584.44</f>
        <v>1584.44</v>
      </c>
      <c r="AQ60" s="102">
        <f t="shared" si="404"/>
        <v>4.4839494284552125E-2</v>
      </c>
      <c r="AR60" s="96">
        <v>1544.51</v>
      </c>
      <c r="AS60" s="102">
        <f t="shared" ref="AS60" si="405">AR60/$AA60</f>
        <v>4.3709479259191636E-2</v>
      </c>
      <c r="AT60" s="96">
        <f>1479.78+428.7</f>
        <v>1908.48</v>
      </c>
      <c r="AU60" s="102">
        <f t="shared" ref="AU60" si="406">AT60/$AA60</f>
        <v>5.400979402955116E-2</v>
      </c>
      <c r="AV60" s="96">
        <f>2557.03+3640</f>
        <v>6197.0300000000007</v>
      </c>
      <c r="AW60" s="102">
        <f t="shared" ref="AW60:BC60" si="407">AV60/$AA60</f>
        <v>0.1753753321464985</v>
      </c>
      <c r="AX60" s="96"/>
      <c r="AY60" s="102">
        <f t="shared" si="407"/>
        <v>0</v>
      </c>
      <c r="AZ60" s="96"/>
      <c r="BA60" s="102">
        <f t="shared" si="407"/>
        <v>0</v>
      </c>
      <c r="BB60" s="96"/>
      <c r="BC60" s="102">
        <f t="shared" si="407"/>
        <v>0</v>
      </c>
      <c r="BD60" s="104">
        <f t="shared" si="351"/>
        <v>18477</v>
      </c>
      <c r="BE60" s="102">
        <f t="shared" ref="BE60" si="408">BD60/$AA60</f>
        <v>0.52289726079603494</v>
      </c>
    </row>
    <row r="61" spans="1:57" x14ac:dyDescent="0.25">
      <c r="A61" s="60" t="s">
        <v>37</v>
      </c>
      <c r="B61" s="61">
        <v>41405.67</v>
      </c>
      <c r="C61" s="38">
        <v>3300</v>
      </c>
      <c r="D61" s="38">
        <f t="shared" si="353"/>
        <v>39600</v>
      </c>
      <c r="E61" s="35">
        <f t="shared" si="324"/>
        <v>-4.3609244820817961E-2</v>
      </c>
      <c r="F61" s="38">
        <f>3165.32</f>
        <v>3165.32</v>
      </c>
      <c r="G61" s="38">
        <v>3165.32</v>
      </c>
      <c r="H61" s="38">
        <v>3165.32</v>
      </c>
      <c r="I61" s="38">
        <v>3165.32</v>
      </c>
      <c r="J61" s="38">
        <v>3165.32</v>
      </c>
      <c r="K61" s="38">
        <v>3165.32</v>
      </c>
      <c r="L61" s="38">
        <v>3165.32</v>
      </c>
      <c r="M61" s="75">
        <f t="shared" si="15"/>
        <v>0.95918787878787881</v>
      </c>
      <c r="N61" s="38">
        <v>3165.32</v>
      </c>
      <c r="O61" s="75">
        <f t="shared" si="40"/>
        <v>0.95918787878787881</v>
      </c>
      <c r="P61" s="38">
        <v>3165.32</v>
      </c>
      <c r="Q61" s="75">
        <f t="shared" si="16"/>
        <v>0.95918787878787881</v>
      </c>
      <c r="R61" s="38"/>
      <c r="S61" s="38"/>
      <c r="T61" s="38"/>
      <c r="U61" s="75">
        <f t="shared" si="354"/>
        <v>0</v>
      </c>
      <c r="V61" s="38">
        <f t="shared" si="343"/>
        <v>28487.88</v>
      </c>
      <c r="W61" s="75">
        <f t="shared" si="8"/>
        <v>0.71939090909090908</v>
      </c>
      <c r="X61" s="38">
        <f t="shared" si="17"/>
        <v>3165.32</v>
      </c>
      <c r="Y61" s="83">
        <f t="shared" si="344"/>
        <v>3355.2392</v>
      </c>
      <c r="Z61" s="83">
        <v>3481.8520000000003</v>
      </c>
      <c r="AA61" s="83">
        <f t="shared" si="345"/>
        <v>41782.224000000002</v>
      </c>
      <c r="AB61" s="81">
        <f t="shared" si="70"/>
        <v>3165.32</v>
      </c>
      <c r="AF61" s="83">
        <v>3298.13</v>
      </c>
      <c r="AG61" s="103">
        <f t="shared" si="21"/>
        <v>7.8936200236732257E-2</v>
      </c>
      <c r="AH61" s="96">
        <v>3298.13</v>
      </c>
      <c r="AI61" s="103">
        <f t="shared" si="21"/>
        <v>7.8936200236732257E-2</v>
      </c>
      <c r="AJ61" s="83">
        <v>3298.13</v>
      </c>
      <c r="AK61" s="103">
        <f t="shared" ref="AK61:AM61" si="409">AJ61/$AA61</f>
        <v>7.8936200236732257E-2</v>
      </c>
      <c r="AL61" s="83">
        <v>3298.13</v>
      </c>
      <c r="AM61" s="103">
        <f t="shared" si="409"/>
        <v>7.8936200236732257E-2</v>
      </c>
      <c r="AN61" s="83">
        <v>3298.13</v>
      </c>
      <c r="AO61" s="103">
        <f t="shared" ref="AO61:AQ61" si="410">AN61/$AA61</f>
        <v>7.8936200236732257E-2</v>
      </c>
      <c r="AP61" s="83">
        <v>3419.51</v>
      </c>
      <c r="AQ61" s="103">
        <f t="shared" si="410"/>
        <v>8.1841263404264938E-2</v>
      </c>
      <c r="AR61" s="83">
        <v>3419.51</v>
      </c>
      <c r="AS61" s="103">
        <f t="shared" ref="AS61" si="411">AR61/$AA61</f>
        <v>8.1841263404264938E-2</v>
      </c>
      <c r="AT61" s="83">
        <v>3304.36</v>
      </c>
      <c r="AU61" s="103">
        <f t="shared" ref="AU61" si="412">AT61/$AA61</f>
        <v>7.9085306708422218E-2</v>
      </c>
      <c r="AV61" s="83">
        <v>2640.3</v>
      </c>
      <c r="AW61" s="103">
        <f t="shared" ref="AW61:BC61" si="413">AV61/$AA61</f>
        <v>6.3191944976409106E-2</v>
      </c>
      <c r="AX61" s="83"/>
      <c r="AY61" s="103">
        <f t="shared" si="413"/>
        <v>0</v>
      </c>
      <c r="AZ61" s="83"/>
      <c r="BA61" s="103">
        <f t="shared" si="413"/>
        <v>0</v>
      </c>
      <c r="BB61" s="83"/>
      <c r="BC61" s="103">
        <f t="shared" si="413"/>
        <v>0</v>
      </c>
      <c r="BD61" s="104">
        <f t="shared" si="351"/>
        <v>29274.330000000005</v>
      </c>
      <c r="BE61" s="103">
        <f t="shared" ref="BE61" si="414">BD61/$AA61</f>
        <v>0.70064077967702254</v>
      </c>
    </row>
    <row r="62" spans="1:57" x14ac:dyDescent="0.25">
      <c r="A62" s="58" t="s">
        <v>38</v>
      </c>
      <c r="B62" s="59">
        <v>41979.65</v>
      </c>
      <c r="C62" s="42">
        <v>3900</v>
      </c>
      <c r="D62" s="42">
        <f>SUM(D63)</f>
        <v>46800</v>
      </c>
      <c r="E62" s="35">
        <f t="shared" si="324"/>
        <v>0.11482587396512356</v>
      </c>
      <c r="F62" s="42">
        <f>SUM(F63)</f>
        <v>3550.24</v>
      </c>
      <c r="G62" s="42">
        <f t="shared" ref="G62:V62" si="415">SUM(G63)</f>
        <v>3550.24</v>
      </c>
      <c r="H62" s="42">
        <f t="shared" si="415"/>
        <v>3550.24</v>
      </c>
      <c r="I62" s="42">
        <f t="shared" si="415"/>
        <v>3595.45</v>
      </c>
      <c r="J62" s="42">
        <f t="shared" si="415"/>
        <v>3595.45</v>
      </c>
      <c r="K62" s="42">
        <f t="shared" si="415"/>
        <v>3595.45</v>
      </c>
      <c r="L62" s="42">
        <f t="shared" si="415"/>
        <v>3595.45</v>
      </c>
      <c r="M62" s="78">
        <f t="shared" si="15"/>
        <v>0.92191025641025637</v>
      </c>
      <c r="N62" s="42">
        <f t="shared" si="415"/>
        <v>3595.45</v>
      </c>
      <c r="O62" s="78">
        <f t="shared" si="40"/>
        <v>0.92191025641025637</v>
      </c>
      <c r="P62" s="42">
        <f t="shared" si="415"/>
        <v>3595.45</v>
      </c>
      <c r="Q62" s="78">
        <f t="shared" si="16"/>
        <v>0.92191025641025637</v>
      </c>
      <c r="R62" s="42">
        <f t="shared" si="415"/>
        <v>0</v>
      </c>
      <c r="S62" s="42">
        <f t="shared" si="415"/>
        <v>0</v>
      </c>
      <c r="T62" s="42">
        <f t="shared" si="415"/>
        <v>0</v>
      </c>
      <c r="U62" s="78">
        <f t="shared" si="354"/>
        <v>0</v>
      </c>
      <c r="V62" s="42">
        <f t="shared" si="415"/>
        <v>32223.42</v>
      </c>
      <c r="W62" s="78">
        <f t="shared" si="8"/>
        <v>0.68853461538461536</v>
      </c>
      <c r="X62" s="42">
        <f t="shared" si="17"/>
        <v>3580.3799999999997</v>
      </c>
      <c r="Y62" s="42">
        <f t="shared" ref="Y62" si="416">SUM(Y63)</f>
        <v>3795.2027999999996</v>
      </c>
      <c r="Z62" s="42">
        <v>3938.4179999999997</v>
      </c>
      <c r="AA62" s="42">
        <f>SUM(AA63)</f>
        <v>47261.015999999996</v>
      </c>
      <c r="AB62" s="81">
        <f t="shared" si="70"/>
        <v>3595.4499999999994</v>
      </c>
      <c r="AF62" s="42">
        <f>SUM(AF63)</f>
        <v>4203.3599999999997</v>
      </c>
      <c r="AG62" s="78">
        <f t="shared" si="21"/>
        <v>8.8939264445774935E-2</v>
      </c>
      <c r="AH62" s="42">
        <f>SUM(AH63)</f>
        <v>3803.36</v>
      </c>
      <c r="AI62" s="78">
        <f t="shared" si="21"/>
        <v>8.0475629216265693E-2</v>
      </c>
      <c r="AJ62" s="42">
        <f>SUM(AJ63)</f>
        <v>3982.34</v>
      </c>
      <c r="AK62" s="78">
        <f t="shared" ref="AK62:AM62" si="417">AJ62/$AA62</f>
        <v>8.426268279970961E-2</v>
      </c>
      <c r="AL62" s="42">
        <f>SUM(AL63)</f>
        <v>4036.95</v>
      </c>
      <c r="AM62" s="78">
        <f t="shared" si="417"/>
        <v>8.5418180599418345E-2</v>
      </c>
      <c r="AN62" s="42">
        <f>SUM(AN63)</f>
        <v>4037.02</v>
      </c>
      <c r="AO62" s="78">
        <f t="shared" ref="AO62:AQ62" si="418">AN62/$AA62</f>
        <v>8.5419661735583519E-2</v>
      </c>
      <c r="AP62" s="42">
        <f>SUM(AP63)</f>
        <v>5465.9</v>
      </c>
      <c r="AQ62" s="78">
        <f t="shared" si="418"/>
        <v>0.11565345950243643</v>
      </c>
      <c r="AR62" s="42">
        <f>SUM(AR63)</f>
        <v>4264.8100000000004</v>
      </c>
      <c r="AS62" s="78">
        <f t="shared" ref="AS62" si="419">AR62/$AA62</f>
        <v>9.0239490407908296E-2</v>
      </c>
      <c r="AT62" s="42">
        <f>SUM(AT63)</f>
        <v>5890.88</v>
      </c>
      <c r="AU62" s="78">
        <f t="shared" ref="AU62" si="420">AT62/$AA62</f>
        <v>0.12464564875202853</v>
      </c>
      <c r="AV62" s="42">
        <f>SUM(AV63)</f>
        <v>2772.39</v>
      </c>
      <c r="AW62" s="78">
        <f t="shared" ref="AW62:BC62" si="421">AV62/$AA62</f>
        <v>5.8661244184847826E-2</v>
      </c>
      <c r="AX62" s="42">
        <f>SUM(AX63)</f>
        <v>0</v>
      </c>
      <c r="AY62" s="78">
        <f t="shared" si="421"/>
        <v>0</v>
      </c>
      <c r="AZ62" s="42">
        <f>SUM(AZ63)</f>
        <v>0</v>
      </c>
      <c r="BA62" s="78">
        <f t="shared" si="421"/>
        <v>0</v>
      </c>
      <c r="BB62" s="42">
        <f>SUM(BB63)</f>
        <v>0</v>
      </c>
      <c r="BC62" s="78">
        <f t="shared" si="421"/>
        <v>0</v>
      </c>
      <c r="BD62" s="42">
        <f t="shared" ref="BD62" si="422">SUM(BD63)</f>
        <v>38457.01</v>
      </c>
      <c r="BE62" s="78">
        <f t="shared" ref="BE62" si="423">BD62/$AA62</f>
        <v>0.81371526164397323</v>
      </c>
    </row>
    <row r="63" spans="1:57" x14ac:dyDescent="0.25">
      <c r="A63" s="60" t="s">
        <v>38</v>
      </c>
      <c r="B63" s="54">
        <v>41979.65</v>
      </c>
      <c r="C63" s="38">
        <v>3900</v>
      </c>
      <c r="D63" s="38">
        <f>C63*12</f>
        <v>46800</v>
      </c>
      <c r="E63" s="35">
        <f t="shared" si="324"/>
        <v>0.11482587396512356</v>
      </c>
      <c r="F63" s="38">
        <v>3550.24</v>
      </c>
      <c r="G63" s="38">
        <v>3550.24</v>
      </c>
      <c r="H63" s="38">
        <v>3550.24</v>
      </c>
      <c r="I63" s="38">
        <v>3595.45</v>
      </c>
      <c r="J63" s="38">
        <v>3595.45</v>
      </c>
      <c r="K63" s="38">
        <v>3595.45</v>
      </c>
      <c r="L63" s="38">
        <v>3595.45</v>
      </c>
      <c r="M63" s="75">
        <f t="shared" si="15"/>
        <v>0.92191025641025637</v>
      </c>
      <c r="N63" s="38">
        <v>3595.45</v>
      </c>
      <c r="O63" s="75">
        <f t="shared" si="40"/>
        <v>0.92191025641025637</v>
      </c>
      <c r="P63" s="38">
        <v>3595.45</v>
      </c>
      <c r="Q63" s="75">
        <f t="shared" si="16"/>
        <v>0.92191025641025637</v>
      </c>
      <c r="R63" s="38"/>
      <c r="S63" s="38"/>
      <c r="T63" s="38"/>
      <c r="U63" s="75">
        <f t="shared" si="354"/>
        <v>0</v>
      </c>
      <c r="V63" s="38">
        <f>T63+S63+R63+P63+N63+L63+K63+J63+I63+H63+G63+F63</f>
        <v>32223.42</v>
      </c>
      <c r="W63" s="75">
        <f t="shared" si="8"/>
        <v>0.68853461538461536</v>
      </c>
      <c r="X63" s="38">
        <f t="shared" si="17"/>
        <v>3580.3799999999997</v>
      </c>
      <c r="Y63" s="83">
        <f>X63+(X63*$Y$2)</f>
        <v>3795.2027999999996</v>
      </c>
      <c r="Z63" s="83">
        <v>3938.4179999999997</v>
      </c>
      <c r="AA63" s="83">
        <f t="shared" si="345"/>
        <v>47261.015999999996</v>
      </c>
      <c r="AB63" s="81">
        <f t="shared" si="70"/>
        <v>3595.4499999999994</v>
      </c>
      <c r="AF63" s="83">
        <v>4203.3599999999997</v>
      </c>
      <c r="AG63" s="103">
        <f t="shared" si="21"/>
        <v>8.8939264445774935E-2</v>
      </c>
      <c r="AH63" s="96">
        <v>3803.36</v>
      </c>
      <c r="AI63" s="103">
        <f t="shared" si="21"/>
        <v>8.0475629216265693E-2</v>
      </c>
      <c r="AJ63" s="83">
        <v>3982.34</v>
      </c>
      <c r="AK63" s="103">
        <f t="shared" ref="AK63:AM63" si="424">AJ63/$AA63</f>
        <v>8.426268279970961E-2</v>
      </c>
      <c r="AL63" s="83">
        <v>4036.95</v>
      </c>
      <c r="AM63" s="103">
        <f t="shared" si="424"/>
        <v>8.5418180599418345E-2</v>
      </c>
      <c r="AN63" s="83">
        <v>4037.02</v>
      </c>
      <c r="AO63" s="103">
        <f t="shared" ref="AO63:AQ63" si="425">AN63/$AA63</f>
        <v>8.5419661735583519E-2</v>
      </c>
      <c r="AP63" s="83">
        <v>5465.9</v>
      </c>
      <c r="AQ63" s="103">
        <f t="shared" si="425"/>
        <v>0.11565345950243643</v>
      </c>
      <c r="AR63" s="83">
        <v>4264.8100000000004</v>
      </c>
      <c r="AS63" s="103">
        <f t="shared" ref="AS63" si="426">AR63/$AA63</f>
        <v>9.0239490407908296E-2</v>
      </c>
      <c r="AT63" s="83">
        <f>6099.83-208.95</f>
        <v>5890.88</v>
      </c>
      <c r="AU63" s="103">
        <f t="shared" ref="AU63" si="427">AT63/$AA63</f>
        <v>0.12464564875202853</v>
      </c>
      <c r="AV63" s="83">
        <v>2772.39</v>
      </c>
      <c r="AW63" s="103">
        <f t="shared" ref="AW63:BC63" si="428">AV63/$AA63</f>
        <v>5.8661244184847826E-2</v>
      </c>
      <c r="AX63" s="83"/>
      <c r="AY63" s="103">
        <f t="shared" si="428"/>
        <v>0</v>
      </c>
      <c r="AZ63" s="83"/>
      <c r="BA63" s="103">
        <f t="shared" si="428"/>
        <v>0</v>
      </c>
      <c r="BB63" s="83"/>
      <c r="BC63" s="103">
        <f t="shared" si="428"/>
        <v>0</v>
      </c>
      <c r="BD63" s="104">
        <f>AF63+AH63+AJ63+AL63+AN63+AP63+AR63+AT63+AV63+AX63+AZ63+BB63</f>
        <v>38457.01</v>
      </c>
      <c r="BE63" s="103">
        <f t="shared" ref="BE63" si="429">BD63/$AA63</f>
        <v>0.81371526164397323</v>
      </c>
    </row>
    <row r="64" spans="1:57" x14ac:dyDescent="0.25">
      <c r="A64" s="58" t="s">
        <v>39</v>
      </c>
      <c r="B64" s="59">
        <v>250878.58000000002</v>
      </c>
      <c r="C64" s="42">
        <v>25292.954999999998</v>
      </c>
      <c r="D64" s="42">
        <f>SUM(D65:D71)</f>
        <v>303515.46000000002</v>
      </c>
      <c r="E64" s="35">
        <f t="shared" si="324"/>
        <v>0.20981017988861383</v>
      </c>
      <c r="F64" s="42">
        <f>SUM(F65:F71)</f>
        <v>27413.180000000004</v>
      </c>
      <c r="G64" s="42">
        <f t="shared" ref="G64:V64" si="430">SUM(G65:G71)</f>
        <v>24143.91</v>
      </c>
      <c r="H64" s="42">
        <f t="shared" si="430"/>
        <v>31903.739999999998</v>
      </c>
      <c r="I64" s="42">
        <f t="shared" si="430"/>
        <v>15391.150000000001</v>
      </c>
      <c r="J64" s="42">
        <f t="shared" si="430"/>
        <v>30831.119999999995</v>
      </c>
      <c r="K64" s="42">
        <f t="shared" si="430"/>
        <v>20958.519999999997</v>
      </c>
      <c r="L64" s="42">
        <f t="shared" si="430"/>
        <v>19726.11</v>
      </c>
      <c r="M64" s="78">
        <f t="shared" si="15"/>
        <v>0.77990531355470338</v>
      </c>
      <c r="N64" s="42">
        <f t="shared" si="430"/>
        <v>17838.52</v>
      </c>
      <c r="O64" s="78">
        <f t="shared" si="40"/>
        <v>0.70527623205750378</v>
      </c>
      <c r="P64" s="42">
        <f t="shared" si="430"/>
        <v>22086.29</v>
      </c>
      <c r="Q64" s="78">
        <f t="shared" si="16"/>
        <v>0.87321904459166599</v>
      </c>
      <c r="R64" s="42">
        <f t="shared" si="430"/>
        <v>0</v>
      </c>
      <c r="S64" s="42">
        <f t="shared" si="430"/>
        <v>0</v>
      </c>
      <c r="T64" s="42">
        <f t="shared" si="430"/>
        <v>0</v>
      </c>
      <c r="U64" s="78">
        <f t="shared" si="354"/>
        <v>0</v>
      </c>
      <c r="V64" s="42">
        <f t="shared" si="430"/>
        <v>210292.54</v>
      </c>
      <c r="W64" s="78">
        <f t="shared" si="8"/>
        <v>0.69285610690144084</v>
      </c>
      <c r="X64" s="42">
        <f t="shared" si="17"/>
        <v>23365.837777777779</v>
      </c>
      <c r="Y64" s="42">
        <f t="shared" ref="Y64" si="431">SUM(Y65:Y71)</f>
        <v>24767.788044444445</v>
      </c>
      <c r="Z64" s="42">
        <v>25702.421555555557</v>
      </c>
      <c r="AA64" s="42">
        <f>SUM(AA65:AA71)</f>
        <v>247357.95199999999</v>
      </c>
      <c r="AB64" s="81">
        <f t="shared" si="70"/>
        <v>19883.640000000003</v>
      </c>
      <c r="AF64" s="42">
        <f>SUM(AF65:AF71)</f>
        <v>17229.670000000002</v>
      </c>
      <c r="AG64" s="78">
        <f t="shared" si="21"/>
        <v>6.9654805356732588E-2</v>
      </c>
      <c r="AH64" s="42">
        <f>SUM(AH65:AH71)</f>
        <v>20163.93</v>
      </c>
      <c r="AI64" s="78">
        <f t="shared" si="21"/>
        <v>8.1517209521527731E-2</v>
      </c>
      <c r="AJ64" s="42">
        <f>SUM(AJ65:AJ71)</f>
        <v>12546.41</v>
      </c>
      <c r="AK64" s="78">
        <f t="shared" ref="AK64:AM64" si="432">AJ64/$AA64</f>
        <v>5.0721676414914693E-2</v>
      </c>
      <c r="AL64" s="42">
        <f>SUM(AL65:AL71)</f>
        <v>15587.43</v>
      </c>
      <c r="AM64" s="78">
        <f t="shared" si="432"/>
        <v>6.3015681824532571E-2</v>
      </c>
      <c r="AN64" s="42">
        <f>SUM(AN65:AN71)</f>
        <v>17720.16</v>
      </c>
      <c r="AO64" s="78">
        <f t="shared" ref="AO64:AQ64" si="433">AN64/$AA64</f>
        <v>7.1637721191999529E-2</v>
      </c>
      <c r="AP64" s="42">
        <f>SUM(AP65:AP71)</f>
        <v>15107.880000000001</v>
      </c>
      <c r="AQ64" s="78">
        <f t="shared" si="433"/>
        <v>6.1076993392959536E-2</v>
      </c>
      <c r="AR64" s="42">
        <f>SUM(AR65:AR71)</f>
        <v>17698.260000000002</v>
      </c>
      <c r="AS64" s="78">
        <f t="shared" ref="AS64" si="434">AR64/$AA64</f>
        <v>7.1549185530126E-2</v>
      </c>
      <c r="AT64" s="42">
        <f>SUM(AT65:AT71)</f>
        <v>15847.550000000001</v>
      </c>
      <c r="AU64" s="78">
        <f t="shared" ref="AU64" si="435">AT64/$AA64</f>
        <v>6.4067275265927176E-2</v>
      </c>
      <c r="AV64" s="42">
        <f>SUM(AV65:AV71)</f>
        <v>18999.990000000002</v>
      </c>
      <c r="AW64" s="78">
        <f t="shared" ref="AW64:BC64" si="436">AV64/$AA64</f>
        <v>7.6811721015542705E-2</v>
      </c>
      <c r="AX64" s="42">
        <f>SUM(AX65:AX71)</f>
        <v>0</v>
      </c>
      <c r="AY64" s="78">
        <f t="shared" si="436"/>
        <v>0</v>
      </c>
      <c r="AZ64" s="42">
        <f>SUM(AZ65:AZ71)</f>
        <v>0</v>
      </c>
      <c r="BA64" s="78">
        <f t="shared" si="436"/>
        <v>0</v>
      </c>
      <c r="BB64" s="42">
        <f>SUM(BB65:BB71)</f>
        <v>0</v>
      </c>
      <c r="BC64" s="78">
        <f t="shared" si="436"/>
        <v>0</v>
      </c>
      <c r="BD64" s="42">
        <f t="shared" ref="BD64" si="437">SUM(BD65:BD71)</f>
        <v>150901.27999999997</v>
      </c>
      <c r="BE64" s="78">
        <f t="shared" ref="BE64" si="438">BD64/$AA64</f>
        <v>0.61005226951426239</v>
      </c>
    </row>
    <row r="65" spans="1:57" x14ac:dyDescent="0.25">
      <c r="A65" s="60" t="s">
        <v>40</v>
      </c>
      <c r="B65" s="54">
        <v>86378.58</v>
      </c>
      <c r="C65" s="38">
        <v>6644.8300000000008</v>
      </c>
      <c r="D65" s="38">
        <f>C65*12</f>
        <v>79737.960000000006</v>
      </c>
      <c r="E65" s="35">
        <f t="shared" si="324"/>
        <v>-7.687808713688038E-2</v>
      </c>
      <c r="F65" s="38">
        <v>7401.26</v>
      </c>
      <c r="G65" s="38">
        <v>6745.14</v>
      </c>
      <c r="H65" s="38">
        <v>6787.98</v>
      </c>
      <c r="I65" s="38">
        <v>6569.07</v>
      </c>
      <c r="J65" s="38">
        <v>7027.82</v>
      </c>
      <c r="K65" s="38">
        <v>7658.07</v>
      </c>
      <c r="L65" s="38">
        <v>7658.07</v>
      </c>
      <c r="M65" s="75">
        <f t="shared" si="15"/>
        <v>1.1524854661443555</v>
      </c>
      <c r="N65" s="38">
        <v>7411.08</v>
      </c>
      <c r="O65" s="75">
        <f t="shared" si="40"/>
        <v>1.1153152149866887</v>
      </c>
      <c r="P65" s="38">
        <v>7658.07</v>
      </c>
      <c r="Q65" s="75">
        <f t="shared" si="16"/>
        <v>1.1524854661443555</v>
      </c>
      <c r="R65" s="38"/>
      <c r="S65" s="38"/>
      <c r="T65" s="38"/>
      <c r="U65" s="75">
        <f t="shared" si="354"/>
        <v>0</v>
      </c>
      <c r="V65" s="38">
        <f t="shared" ref="V65:V71" si="439">T65+S65+R65+P65+N65+L65+K65+J65+I65+H65+G65+F65</f>
        <v>64916.560000000005</v>
      </c>
      <c r="W65" s="75">
        <f t="shared" si="8"/>
        <v>0.81412366205506137</v>
      </c>
      <c r="X65" s="38">
        <f t="shared" si="17"/>
        <v>7212.9511111111115</v>
      </c>
      <c r="Y65" s="83">
        <f t="shared" ref="Y65:Y71" si="440">X65+(X65*$Y$2)</f>
        <v>7645.728177777778</v>
      </c>
      <c r="Z65" s="83">
        <v>7934.246222222223</v>
      </c>
      <c r="AA65" s="83">
        <f t="shared" si="345"/>
        <v>95210.954666666672</v>
      </c>
      <c r="AB65" s="81">
        <f t="shared" si="70"/>
        <v>7575.7400000000007</v>
      </c>
      <c r="AF65" s="83">
        <v>7164.07</v>
      </c>
      <c r="AG65" s="103">
        <f t="shared" si="21"/>
        <v>7.5244177784808394E-2</v>
      </c>
      <c r="AH65" s="96">
        <v>7411.08</v>
      </c>
      <c r="AI65" s="103">
        <f t="shared" si="21"/>
        <v>7.7838522110677003E-2</v>
      </c>
      <c r="AJ65" s="83">
        <v>7854.53</v>
      </c>
      <c r="AK65" s="103">
        <f t="shared" ref="AK65:AM65" si="441">AJ65/$AA65</f>
        <v>8.249607440129858E-2</v>
      </c>
      <c r="AL65" s="83">
        <v>7625.91</v>
      </c>
      <c r="AM65" s="103">
        <f t="shared" si="441"/>
        <v>8.0094880118556658E-2</v>
      </c>
      <c r="AN65" s="83">
        <v>7917.97</v>
      </c>
      <c r="AO65" s="103">
        <f t="shared" ref="AO65:AQ65" si="442">AN65/$AA65</f>
        <v>8.3162384283623603E-2</v>
      </c>
      <c r="AP65" s="83">
        <v>9232.0300000000007</v>
      </c>
      <c r="AQ65" s="103">
        <f t="shared" si="442"/>
        <v>9.6963947397873659E-2</v>
      </c>
      <c r="AR65" s="83">
        <v>8119.56</v>
      </c>
      <c r="AS65" s="103">
        <f t="shared" ref="AS65" si="443">AR65/$AA65</f>
        <v>8.5279682662846523E-2</v>
      </c>
      <c r="AT65" s="83">
        <v>8119.56</v>
      </c>
      <c r="AU65" s="103">
        <f t="shared" ref="AU65" si="444">AT65/$AA65</f>
        <v>8.5279682662846523E-2</v>
      </c>
      <c r="AV65" s="83">
        <v>8660.89</v>
      </c>
      <c r="AW65" s="103">
        <f t="shared" ref="AW65:BC65" si="445">AV65/$AA65</f>
        <v>9.0965267918190248E-2</v>
      </c>
      <c r="AX65" s="83"/>
      <c r="AY65" s="103">
        <f t="shared" si="445"/>
        <v>0</v>
      </c>
      <c r="AZ65" s="83"/>
      <c r="BA65" s="103">
        <f t="shared" si="445"/>
        <v>0</v>
      </c>
      <c r="BB65" s="83"/>
      <c r="BC65" s="103">
        <f t="shared" si="445"/>
        <v>0</v>
      </c>
      <c r="BD65" s="104">
        <f t="shared" ref="BD65:BD71" si="446">AF65+AH65+AJ65+AL65+AN65+AP65+AR65+AT65+AV65+AX65+AZ65+BB65</f>
        <v>72105.599999999991</v>
      </c>
      <c r="BE65" s="103">
        <f t="shared" ref="BE65" si="447">BD65/$AA65</f>
        <v>0.75732461934072115</v>
      </c>
    </row>
    <row r="66" spans="1:57" x14ac:dyDescent="0.25">
      <c r="A66" s="98" t="s">
        <v>41</v>
      </c>
      <c r="B66" s="94">
        <v>110000</v>
      </c>
      <c r="C66" s="46">
        <v>10913.706666666667</v>
      </c>
      <c r="D66" s="46">
        <f t="shared" ref="D66:D71" si="448">C66*12</f>
        <v>130964.48000000001</v>
      </c>
      <c r="E66" s="95">
        <f t="shared" si="324"/>
        <v>0.19058618181818199</v>
      </c>
      <c r="F66" s="46">
        <v>12064.5</v>
      </c>
      <c r="G66" s="46">
        <v>8556</v>
      </c>
      <c r="H66" s="46">
        <v>12374.14</v>
      </c>
      <c r="I66" s="46">
        <v>2330.6999999999998</v>
      </c>
      <c r="J66" s="46">
        <v>7688.53</v>
      </c>
      <c r="K66" s="46">
        <v>6893.7</v>
      </c>
      <c r="L66" s="46">
        <f>6419.13-4904.18</f>
        <v>1514.9499999999998</v>
      </c>
      <c r="M66" s="76">
        <f t="shared" si="15"/>
        <v>0.13881168390085616</v>
      </c>
      <c r="N66" s="46">
        <v>1599.17</v>
      </c>
      <c r="O66" s="76">
        <f t="shared" si="40"/>
        <v>0.1465285854607295</v>
      </c>
      <c r="P66" s="46">
        <v>1708.61</v>
      </c>
      <c r="Q66" s="76">
        <f t="shared" si="16"/>
        <v>0.15655634260526211</v>
      </c>
      <c r="R66" s="46"/>
      <c r="S66" s="46"/>
      <c r="T66" s="46"/>
      <c r="U66" s="76">
        <f t="shared" si="354"/>
        <v>0</v>
      </c>
      <c r="V66" s="46">
        <f t="shared" si="439"/>
        <v>54730.3</v>
      </c>
      <c r="W66" s="76">
        <f t="shared" si="8"/>
        <v>0.41790186163454396</v>
      </c>
      <c r="X66" s="46">
        <f t="shared" si="17"/>
        <v>6081.1444444444451</v>
      </c>
      <c r="Y66" s="96">
        <f t="shared" si="440"/>
        <v>6446.0131111111114</v>
      </c>
      <c r="Z66" s="96">
        <v>1600</v>
      </c>
      <c r="AA66" s="96">
        <f t="shared" si="345"/>
        <v>19200</v>
      </c>
      <c r="AB66" s="81">
        <f t="shared" si="70"/>
        <v>1607.5766666666666</v>
      </c>
      <c r="AF66" s="96">
        <v>982.73</v>
      </c>
      <c r="AG66" s="102">
        <f t="shared" si="21"/>
        <v>5.1183854166666667E-2</v>
      </c>
      <c r="AH66" s="96">
        <v>1070.0999999999999</v>
      </c>
      <c r="AI66" s="102">
        <f t="shared" si="21"/>
        <v>5.5734374999999996E-2</v>
      </c>
      <c r="AJ66" s="96">
        <v>535.25</v>
      </c>
      <c r="AK66" s="102">
        <f t="shared" ref="AK66:AM66" si="449">AJ66/$AA66</f>
        <v>2.7877604166666667E-2</v>
      </c>
      <c r="AL66" s="96">
        <v>1159.47</v>
      </c>
      <c r="AM66" s="102">
        <f t="shared" si="449"/>
        <v>6.03890625E-2</v>
      </c>
      <c r="AN66" s="96">
        <v>1491.22</v>
      </c>
      <c r="AO66" s="102">
        <f t="shared" ref="AO66:AQ66" si="450">AN66/$AA66</f>
        <v>7.7667708333333335E-2</v>
      </c>
      <c r="AP66" s="96">
        <v>896.83</v>
      </c>
      <c r="AQ66" s="102">
        <f t="shared" si="450"/>
        <v>4.6709895833333334E-2</v>
      </c>
      <c r="AR66" s="96">
        <v>1590.01</v>
      </c>
      <c r="AS66" s="102">
        <f t="shared" ref="AS66" si="451">AR66/$AA66</f>
        <v>8.2813020833333334E-2</v>
      </c>
      <c r="AT66" s="96">
        <v>2080.7600000000002</v>
      </c>
      <c r="AU66" s="102">
        <f t="shared" ref="AU66" si="452">AT66/$AA66</f>
        <v>0.10837291666666668</v>
      </c>
      <c r="AV66" s="96">
        <v>2441.41</v>
      </c>
      <c r="AW66" s="102">
        <f t="shared" ref="AW66:BC66" si="453">AV66/$AA66</f>
        <v>0.12715677083333332</v>
      </c>
      <c r="AX66" s="96"/>
      <c r="AY66" s="102">
        <f t="shared" si="453"/>
        <v>0</v>
      </c>
      <c r="AZ66" s="96"/>
      <c r="BA66" s="102">
        <f t="shared" si="453"/>
        <v>0</v>
      </c>
      <c r="BB66" s="96"/>
      <c r="BC66" s="102">
        <f t="shared" si="453"/>
        <v>0</v>
      </c>
      <c r="BD66" s="104">
        <f t="shared" si="446"/>
        <v>12247.78</v>
      </c>
      <c r="BE66" s="102">
        <f t="shared" ref="BE66" si="454">BD66/$AA66</f>
        <v>0.63790520833333342</v>
      </c>
    </row>
    <row r="67" spans="1:57" x14ac:dyDescent="0.25">
      <c r="A67" s="60" t="s">
        <v>42</v>
      </c>
      <c r="B67" s="54">
        <v>24000</v>
      </c>
      <c r="C67" s="38">
        <v>2292.2566666666667</v>
      </c>
      <c r="D67" s="38">
        <f t="shared" si="448"/>
        <v>27507.08</v>
      </c>
      <c r="E67" s="35">
        <f t="shared" si="324"/>
        <v>0.14612833333333342</v>
      </c>
      <c r="F67" s="38">
        <v>1074.8699999999999</v>
      </c>
      <c r="G67" s="38">
        <v>1913.8</v>
      </c>
      <c r="H67" s="38">
        <v>3779.98</v>
      </c>
      <c r="I67" s="38">
        <v>2633.54</v>
      </c>
      <c r="J67" s="38">
        <v>4884.1899999999996</v>
      </c>
      <c r="K67" s="38">
        <v>2221.89</v>
      </c>
      <c r="L67" s="38">
        <v>2213.0100000000002</v>
      </c>
      <c r="M67" s="75">
        <f t="shared" ref="M67:M129" si="455">L67/C67</f>
        <v>0.96542853694394326</v>
      </c>
      <c r="N67" s="38">
        <v>4032.61</v>
      </c>
      <c r="O67" s="75">
        <f t="shared" si="40"/>
        <v>1.7592314415052417</v>
      </c>
      <c r="P67" s="38">
        <v>2527.65</v>
      </c>
      <c r="Q67" s="75">
        <f t="shared" si="16"/>
        <v>1.102690652733769</v>
      </c>
      <c r="R67" s="38"/>
      <c r="S67" s="38"/>
      <c r="T67" s="38"/>
      <c r="U67" s="75">
        <f t="shared" si="354"/>
        <v>0</v>
      </c>
      <c r="V67" s="38">
        <f t="shared" si="439"/>
        <v>25281.539999999997</v>
      </c>
      <c r="W67" s="75">
        <f t="shared" ref="W67:W129" si="456">V67/D67</f>
        <v>0.91909210283316134</v>
      </c>
      <c r="X67" s="38">
        <f t="shared" si="17"/>
        <v>2809.0599999999995</v>
      </c>
      <c r="Y67" s="83">
        <f t="shared" si="440"/>
        <v>2977.6035999999995</v>
      </c>
      <c r="Z67" s="83">
        <v>3089.9659999999994</v>
      </c>
      <c r="AA67" s="83">
        <f t="shared" si="345"/>
        <v>37079.59199999999</v>
      </c>
      <c r="AB67" s="81">
        <f t="shared" si="70"/>
        <v>2924.4233333333336</v>
      </c>
      <c r="AF67" s="83">
        <v>3061.5</v>
      </c>
      <c r="AG67" s="103">
        <f t="shared" si="21"/>
        <v>8.2565633408264061E-2</v>
      </c>
      <c r="AH67" s="96">
        <v>2399.5700000000002</v>
      </c>
      <c r="AI67" s="103">
        <f t="shared" si="21"/>
        <v>6.4714034609658078E-2</v>
      </c>
      <c r="AJ67" s="83">
        <v>1111.94</v>
      </c>
      <c r="AK67" s="103">
        <f t="shared" ref="AK67:AM67" si="457">AJ67/$AA67</f>
        <v>2.9987924354723222E-2</v>
      </c>
      <c r="AL67" s="83">
        <v>1134.05</v>
      </c>
      <c r="AM67" s="103">
        <f t="shared" si="457"/>
        <v>3.0584209232938708E-2</v>
      </c>
      <c r="AN67" s="83">
        <v>3522.83</v>
      </c>
      <c r="AO67" s="103">
        <f t="shared" ref="AO67:AQ67" si="458">AN67/$AA67</f>
        <v>9.500724819194345E-2</v>
      </c>
      <c r="AP67" s="83">
        <v>2841.04</v>
      </c>
      <c r="AQ67" s="103">
        <f t="shared" si="458"/>
        <v>7.6620044794451905E-2</v>
      </c>
      <c r="AR67" s="83">
        <v>1912.42</v>
      </c>
      <c r="AS67" s="103">
        <f t="shared" ref="AS67" si="459">AR67/$AA67</f>
        <v>5.1576079909401391E-2</v>
      </c>
      <c r="AT67" s="83">
        <v>2652.4</v>
      </c>
      <c r="AU67" s="103">
        <f t="shared" ref="AU67" si="460">AT67/$AA67</f>
        <v>7.1532610175430222E-2</v>
      </c>
      <c r="AV67" s="83">
        <v>1704.5</v>
      </c>
      <c r="AW67" s="103">
        <f t="shared" ref="AW67:BC67" si="461">AV67/$AA67</f>
        <v>4.5968682719054743E-2</v>
      </c>
      <c r="AX67" s="83"/>
      <c r="AY67" s="103">
        <f t="shared" si="461"/>
        <v>0</v>
      </c>
      <c r="AZ67" s="83"/>
      <c r="BA67" s="103">
        <f t="shared" si="461"/>
        <v>0</v>
      </c>
      <c r="BB67" s="83"/>
      <c r="BC67" s="103">
        <f t="shared" si="461"/>
        <v>0</v>
      </c>
      <c r="BD67" s="104">
        <f t="shared" si="446"/>
        <v>20340.25</v>
      </c>
      <c r="BE67" s="103">
        <f t="shared" ref="BE67" si="462">BD67/$AA67</f>
        <v>0.54855646739586583</v>
      </c>
    </row>
    <row r="68" spans="1:57" x14ac:dyDescent="0.25">
      <c r="A68" s="60" t="s">
        <v>43</v>
      </c>
      <c r="B68" s="54">
        <v>5000</v>
      </c>
      <c r="C68" s="38">
        <v>548.52666666666664</v>
      </c>
      <c r="D68" s="38">
        <f t="shared" si="448"/>
        <v>6582.32</v>
      </c>
      <c r="E68" s="35">
        <f t="shared" si="324"/>
        <v>0.31646399999999986</v>
      </c>
      <c r="F68" s="38">
        <f>469.7+30+20+136.97</f>
        <v>656.67000000000007</v>
      </c>
      <c r="G68" s="38">
        <f>465.5+30</f>
        <v>495.5</v>
      </c>
      <c r="H68" s="38">
        <f>470.58+104.92+895.9</f>
        <v>1471.4</v>
      </c>
      <c r="I68" s="38">
        <f>737.7+18.9</f>
        <v>756.6</v>
      </c>
      <c r="J68" s="38">
        <v>470.36</v>
      </c>
      <c r="K68" s="38">
        <f>471.54+41.65+71.7</f>
        <v>584.8900000000001</v>
      </c>
      <c r="L68" s="38">
        <v>462.66</v>
      </c>
      <c r="M68" s="75">
        <f t="shared" si="455"/>
        <v>0.84345944894809133</v>
      </c>
      <c r="N68" s="38">
        <f>471.92+618.34</f>
        <v>1090.26</v>
      </c>
      <c r="O68" s="75">
        <f t="shared" si="40"/>
        <v>1.9876153088880517</v>
      </c>
      <c r="P68" s="38">
        <f>461.9+569.88</f>
        <v>1031.78</v>
      </c>
      <c r="Q68" s="75">
        <f t="shared" si="16"/>
        <v>1.8810024429076679</v>
      </c>
      <c r="R68" s="38"/>
      <c r="S68" s="38"/>
      <c r="T68" s="38"/>
      <c r="U68" s="75">
        <f t="shared" si="354"/>
        <v>0</v>
      </c>
      <c r="V68" s="38">
        <f t="shared" si="439"/>
        <v>7020.1200000000008</v>
      </c>
      <c r="W68" s="75">
        <f t="shared" si="456"/>
        <v>1.0665115035428239</v>
      </c>
      <c r="X68" s="38">
        <f t="shared" si="17"/>
        <v>780.01333333333343</v>
      </c>
      <c r="Y68" s="83">
        <f t="shared" si="440"/>
        <v>826.81413333333342</v>
      </c>
      <c r="Z68" s="83">
        <v>858.01466666666681</v>
      </c>
      <c r="AA68" s="83">
        <f t="shared" si="345"/>
        <v>10296.176000000001</v>
      </c>
      <c r="AB68" s="81">
        <f t="shared" si="70"/>
        <v>861.56666666666661</v>
      </c>
      <c r="AF68" s="83">
        <f>473.37+65.5</f>
        <v>538.87</v>
      </c>
      <c r="AG68" s="103">
        <f t="shared" si="21"/>
        <v>5.2336906439827753E-2</v>
      </c>
      <c r="AH68" s="96">
        <f>472.88+70.8+15+469.3</f>
        <v>1027.98</v>
      </c>
      <c r="AI68" s="103">
        <f t="shared" si="21"/>
        <v>9.9840950659740066E-2</v>
      </c>
      <c r="AJ68" s="83">
        <f>477.44+18.05+20.2</f>
        <v>515.69000000000005</v>
      </c>
      <c r="AK68" s="103">
        <f t="shared" ref="AK68:AM68" si="463">AJ68/$AA68</f>
        <v>5.0085585172592234E-2</v>
      </c>
      <c r="AL68" s="83">
        <f>477.44+312.3</f>
        <v>789.74</v>
      </c>
      <c r="AM68" s="103">
        <f t="shared" si="463"/>
        <v>7.6702263053778405E-2</v>
      </c>
      <c r="AN68" s="83">
        <v>477.44</v>
      </c>
      <c r="AO68" s="103">
        <f t="shared" ref="AO68:AQ68" si="464">AN68/$AA68</f>
        <v>4.6370613711342927E-2</v>
      </c>
      <c r="AP68" s="83">
        <f>477.44+3.4+410.05</f>
        <v>890.89</v>
      </c>
      <c r="AQ68" s="103">
        <f t="shared" si="464"/>
        <v>8.652629869574878E-2</v>
      </c>
      <c r="AR68" s="83">
        <v>477.44</v>
      </c>
      <c r="AS68" s="103">
        <f t="shared" ref="AS68" si="465">AR68/$AA68</f>
        <v>4.6370613711342927E-2</v>
      </c>
      <c r="AT68" s="83">
        <v>501.95</v>
      </c>
      <c r="AU68" s="103">
        <f t="shared" ref="AU68" si="466">AT68/$AA68</f>
        <v>4.8751109149649335E-2</v>
      </c>
      <c r="AV68" s="83">
        <v>501.95</v>
      </c>
      <c r="AW68" s="103">
        <f t="shared" ref="AW68:BC68" si="467">AV68/$AA68</f>
        <v>4.8751109149649335E-2</v>
      </c>
      <c r="AX68" s="83"/>
      <c r="AY68" s="103">
        <f t="shared" si="467"/>
        <v>0</v>
      </c>
      <c r="AZ68" s="83"/>
      <c r="BA68" s="103">
        <f t="shared" si="467"/>
        <v>0</v>
      </c>
      <c r="BB68" s="83"/>
      <c r="BC68" s="103">
        <f t="shared" si="467"/>
        <v>0</v>
      </c>
      <c r="BD68" s="104">
        <f t="shared" si="446"/>
        <v>5721.9499999999989</v>
      </c>
      <c r="BE68" s="103">
        <f t="shared" ref="BE68" si="468">BD68/$AA68</f>
        <v>0.55573544974367162</v>
      </c>
    </row>
    <row r="69" spans="1:57" x14ac:dyDescent="0.25">
      <c r="A69" s="60" t="s">
        <v>44</v>
      </c>
      <c r="B69" s="54">
        <v>5000</v>
      </c>
      <c r="C69" s="38">
        <v>884.04499999999996</v>
      </c>
      <c r="D69" s="38">
        <f t="shared" si="448"/>
        <v>10608.539999999999</v>
      </c>
      <c r="E69" s="35">
        <f t="shared" si="324"/>
        <v>1.1217079999999999</v>
      </c>
      <c r="F69" s="38">
        <f>2520.91-532.5</f>
        <v>1988.4099999999999</v>
      </c>
      <c r="G69" s="38">
        <v>344.9</v>
      </c>
      <c r="H69" s="38"/>
      <c r="I69" s="38">
        <v>329.25</v>
      </c>
      <c r="J69" s="38">
        <v>1273.8</v>
      </c>
      <c r="K69" s="38">
        <v>215.21</v>
      </c>
      <c r="L69" s="38">
        <v>887.88</v>
      </c>
      <c r="M69" s="75">
        <f t="shared" si="455"/>
        <v>1.0043380144675893</v>
      </c>
      <c r="N69" s="38">
        <v>751.7</v>
      </c>
      <c r="O69" s="75">
        <f t="shared" si="40"/>
        <v>0.85029608221300956</v>
      </c>
      <c r="P69" s="38">
        <v>580.39</v>
      </c>
      <c r="Q69" s="75">
        <f t="shared" si="16"/>
        <v>0.65651635380551898</v>
      </c>
      <c r="R69" s="38"/>
      <c r="S69" s="38"/>
      <c r="T69" s="38"/>
      <c r="U69" s="75">
        <f t="shared" si="354"/>
        <v>0</v>
      </c>
      <c r="V69" s="38">
        <f t="shared" si="439"/>
        <v>6371.54</v>
      </c>
      <c r="W69" s="75">
        <f t="shared" si="456"/>
        <v>0.6006047957588887</v>
      </c>
      <c r="X69" s="38">
        <f t="shared" si="17"/>
        <v>707.94888888888886</v>
      </c>
      <c r="Y69" s="83">
        <f t="shared" si="440"/>
        <v>750.42582222222222</v>
      </c>
      <c r="Z69" s="83">
        <v>778.74377777777772</v>
      </c>
      <c r="AA69" s="83">
        <f t="shared" si="345"/>
        <v>9344.9253333333327</v>
      </c>
      <c r="AB69" s="81">
        <f t="shared" si="70"/>
        <v>739.9899999999999</v>
      </c>
      <c r="AF69" s="83">
        <v>591</v>
      </c>
      <c r="AG69" s="103">
        <f t="shared" si="21"/>
        <v>6.3242880913334215E-2</v>
      </c>
      <c r="AH69" s="96"/>
      <c r="AI69" s="103">
        <f t="shared" si="21"/>
        <v>0</v>
      </c>
      <c r="AJ69" s="83">
        <v>750</v>
      </c>
      <c r="AK69" s="103">
        <f t="shared" ref="AK69:AM69" si="469">AJ69/$AA69</f>
        <v>8.0257463087987577E-2</v>
      </c>
      <c r="AL69" s="83">
        <v>989.45</v>
      </c>
      <c r="AM69" s="103">
        <f t="shared" si="469"/>
        <v>0.10588099580321242</v>
      </c>
      <c r="AN69" s="83">
        <v>245.5</v>
      </c>
      <c r="AO69" s="103">
        <f t="shared" ref="AO69:AQ69" si="470">AN69/$AA69</f>
        <v>2.6270942917467937E-2</v>
      </c>
      <c r="AP69" s="83">
        <v>595.6</v>
      </c>
      <c r="AQ69" s="103">
        <f t="shared" si="470"/>
        <v>6.3735126686940535E-2</v>
      </c>
      <c r="AR69" s="83">
        <v>750.9</v>
      </c>
      <c r="AS69" s="103">
        <f t="shared" ref="AS69" si="471">AR69/$AA69</f>
        <v>8.0353772043693164E-2</v>
      </c>
      <c r="AT69" s="83">
        <v>975.59</v>
      </c>
      <c r="AU69" s="103">
        <f t="shared" ref="AU69" si="472">AT69/$AA69</f>
        <v>0.10439783788534641</v>
      </c>
      <c r="AV69" s="83">
        <v>1298.8800000000001</v>
      </c>
      <c r="AW69" s="103">
        <f t="shared" ref="AW69:BC69" si="473">AV69/$AA69</f>
        <v>0.13899308487430043</v>
      </c>
      <c r="AX69" s="83"/>
      <c r="AY69" s="103">
        <f t="shared" si="473"/>
        <v>0</v>
      </c>
      <c r="AZ69" s="83"/>
      <c r="BA69" s="103">
        <f t="shared" si="473"/>
        <v>0</v>
      </c>
      <c r="BB69" s="83"/>
      <c r="BC69" s="103">
        <f t="shared" si="473"/>
        <v>0</v>
      </c>
      <c r="BD69" s="104">
        <f t="shared" si="446"/>
        <v>6196.92</v>
      </c>
      <c r="BE69" s="103">
        <f t="shared" ref="BE69" si="474">BD69/$AA69</f>
        <v>0.66313210421228264</v>
      </c>
    </row>
    <row r="70" spans="1:57" x14ac:dyDescent="0.25">
      <c r="A70" s="60" t="s">
        <v>45</v>
      </c>
      <c r="B70" s="54">
        <v>20000</v>
      </c>
      <c r="C70" s="38">
        <v>3900.7000000000003</v>
      </c>
      <c r="D70" s="38">
        <f t="shared" si="448"/>
        <v>46808.4</v>
      </c>
      <c r="E70" s="35">
        <f t="shared" si="324"/>
        <v>1.3404199999999999</v>
      </c>
      <c r="F70" s="38">
        <f>3816.9+410.57</f>
        <v>4227.47</v>
      </c>
      <c r="G70" s="38">
        <v>6088.57</v>
      </c>
      <c r="H70" s="38">
        <v>7490.24</v>
      </c>
      <c r="I70" s="38">
        <f>2096.99+675</f>
        <v>2771.99</v>
      </c>
      <c r="J70" s="38">
        <v>9486.42</v>
      </c>
      <c r="K70" s="38">
        <v>3239.76</v>
      </c>
      <c r="L70" s="38">
        <v>6829.61</v>
      </c>
      <c r="M70" s="75">
        <f t="shared" si="455"/>
        <v>1.7508677929602376</v>
      </c>
      <c r="N70" s="38">
        <f>2956.2-2.5</f>
        <v>2953.7</v>
      </c>
      <c r="O70" s="75">
        <f t="shared" si="40"/>
        <v>0.75722306252723859</v>
      </c>
      <c r="P70" s="38">
        <v>8579.7900000000009</v>
      </c>
      <c r="Q70" s="75">
        <f t="shared" ref="Q70:Q132" si="475">P70/$C70</f>
        <v>2.199551362575948</v>
      </c>
      <c r="R70" s="38"/>
      <c r="S70" s="38"/>
      <c r="T70" s="38"/>
      <c r="U70" s="75">
        <f t="shared" ref="U70:U132" si="476">T70/I70</f>
        <v>0</v>
      </c>
      <c r="V70" s="38">
        <f t="shared" si="439"/>
        <v>51667.549999999996</v>
      </c>
      <c r="W70" s="75">
        <f t="shared" si="456"/>
        <v>1.1038093590039393</v>
      </c>
      <c r="X70" s="38">
        <f t="shared" ref="X70:X132" si="477">V70/9</f>
        <v>5740.8388888888885</v>
      </c>
      <c r="Y70" s="83">
        <f t="shared" si="440"/>
        <v>6085.2892222222217</v>
      </c>
      <c r="Z70" s="83">
        <v>6314.9227777777778</v>
      </c>
      <c r="AA70" s="83">
        <f t="shared" si="345"/>
        <v>75779.073333333334</v>
      </c>
      <c r="AB70" s="81">
        <f t="shared" si="70"/>
        <v>6121.0333333333328</v>
      </c>
      <c r="AF70" s="83">
        <v>4700.9799999999996</v>
      </c>
      <c r="AG70" s="103">
        <f t="shared" si="21"/>
        <v>6.2035332357807484E-2</v>
      </c>
      <c r="AH70" s="96">
        <v>8255.2000000000007</v>
      </c>
      <c r="AI70" s="103">
        <f t="shared" si="21"/>
        <v>0.10893772695909629</v>
      </c>
      <c r="AJ70" s="83">
        <v>1779</v>
      </c>
      <c r="AK70" s="103">
        <f t="shared" ref="AK70:AM70" si="478">AJ70/$AA70</f>
        <v>2.3476138223208678E-2</v>
      </c>
      <c r="AL70" s="83">
        <f>2410.95-42.89+670.57</f>
        <v>3038.63</v>
      </c>
      <c r="AM70" s="103">
        <f t="shared" si="478"/>
        <v>4.0098537318262274E-2</v>
      </c>
      <c r="AN70" s="83">
        <v>4065.2</v>
      </c>
      <c r="AO70" s="103">
        <f t="shared" ref="AO70:AQ70" si="479">AN70/$AA70</f>
        <v>5.3645417147266949E-2</v>
      </c>
      <c r="AP70" s="83">
        <f>586+65.49</f>
        <v>651.49</v>
      </c>
      <c r="AQ70" s="103">
        <f t="shared" si="479"/>
        <v>8.5972283816965825E-3</v>
      </c>
      <c r="AR70" s="83">
        <v>4847.93</v>
      </c>
      <c r="AS70" s="103">
        <f t="shared" ref="AS70" si="480">AR70/$AA70</f>
        <v>6.3974522077819021E-2</v>
      </c>
      <c r="AT70" s="83">
        <v>1335.69</v>
      </c>
      <c r="AU70" s="103">
        <f t="shared" ref="AU70" si="481">AT70/$AA70</f>
        <v>1.7626106275074535E-2</v>
      </c>
      <c r="AV70" s="83">
        <v>4392.3599999999997</v>
      </c>
      <c r="AW70" s="103">
        <f t="shared" ref="AW70:BC70" si="482">AV70/$AA70</f>
        <v>5.796270403940014E-2</v>
      </c>
      <c r="AX70" s="83"/>
      <c r="AY70" s="103">
        <f t="shared" si="482"/>
        <v>0</v>
      </c>
      <c r="AZ70" s="83"/>
      <c r="BA70" s="103">
        <f t="shared" si="482"/>
        <v>0</v>
      </c>
      <c r="BB70" s="83"/>
      <c r="BC70" s="103">
        <f t="shared" si="482"/>
        <v>0</v>
      </c>
      <c r="BD70" s="104">
        <f t="shared" si="446"/>
        <v>33066.480000000003</v>
      </c>
      <c r="BE70" s="103">
        <f t="shared" ref="BE70" si="483">BD70/$AA70</f>
        <v>0.43635371277963197</v>
      </c>
    </row>
    <row r="71" spans="1:57" x14ac:dyDescent="0.25">
      <c r="A71" s="60" t="s">
        <v>46</v>
      </c>
      <c r="B71" s="54">
        <v>500</v>
      </c>
      <c r="C71" s="38">
        <v>108.89000000000001</v>
      </c>
      <c r="D71" s="38">
        <f t="shared" si="448"/>
        <v>1306.6800000000003</v>
      </c>
      <c r="E71" s="35">
        <f t="shared" si="324"/>
        <v>1.6133600000000006</v>
      </c>
      <c r="F71" s="38"/>
      <c r="G71" s="38"/>
      <c r="H71" s="38"/>
      <c r="I71" s="38"/>
      <c r="J71" s="38"/>
      <c r="K71" s="38">
        <v>145</v>
      </c>
      <c r="L71" s="38">
        <v>159.93</v>
      </c>
      <c r="M71" s="75">
        <f t="shared" si="455"/>
        <v>1.4687299109192762</v>
      </c>
      <c r="N71" s="38"/>
      <c r="O71" s="75">
        <f t="shared" ref="O71:O132" si="484">N71/C71</f>
        <v>0</v>
      </c>
      <c r="P71" s="38"/>
      <c r="Q71" s="75">
        <f t="shared" si="475"/>
        <v>0</v>
      </c>
      <c r="R71" s="38"/>
      <c r="S71" s="38"/>
      <c r="T71" s="38"/>
      <c r="U71" s="75" t="e">
        <f t="shared" si="476"/>
        <v>#DIV/0!</v>
      </c>
      <c r="V71" s="38">
        <f t="shared" si="439"/>
        <v>304.93</v>
      </c>
      <c r="W71" s="75">
        <f t="shared" si="456"/>
        <v>0.23336241466923802</v>
      </c>
      <c r="X71" s="38">
        <f t="shared" si="477"/>
        <v>33.88111111111111</v>
      </c>
      <c r="Y71" s="83">
        <f t="shared" si="440"/>
        <v>35.913977777777774</v>
      </c>
      <c r="Z71" s="83">
        <v>37.269222222222218</v>
      </c>
      <c r="AA71" s="83">
        <f t="shared" si="345"/>
        <v>447.23066666666659</v>
      </c>
      <c r="AB71" s="81">
        <f t="shared" si="70"/>
        <v>53.31</v>
      </c>
      <c r="AF71" s="83">
        <f>190.52</f>
        <v>190.52</v>
      </c>
      <c r="AG71" s="103">
        <f t="shared" si="21"/>
        <v>0.42599940970058714</v>
      </c>
      <c r="AH71" s="83"/>
      <c r="AI71" s="103">
        <f t="shared" si="21"/>
        <v>0</v>
      </c>
      <c r="AJ71" s="83"/>
      <c r="AK71" s="103">
        <f t="shared" ref="AK71:AM71" si="485">AJ71/$AA71</f>
        <v>0</v>
      </c>
      <c r="AL71" s="83">
        <v>850.18</v>
      </c>
      <c r="AM71" s="103">
        <f t="shared" si="485"/>
        <v>1.9009877080581834</v>
      </c>
      <c r="AN71" s="83"/>
      <c r="AO71" s="103">
        <f t="shared" ref="AO71:AQ71" si="486">AN71/$AA71</f>
        <v>0</v>
      </c>
      <c r="AP71" s="83"/>
      <c r="AQ71" s="103">
        <f t="shared" si="486"/>
        <v>0</v>
      </c>
      <c r="AR71" s="83"/>
      <c r="AS71" s="103">
        <f t="shared" ref="AS71" si="487">AR71/$AA71</f>
        <v>0</v>
      </c>
      <c r="AT71" s="83">
        <v>181.6</v>
      </c>
      <c r="AU71" s="103">
        <f t="shared" ref="AU71" si="488">AT71/$AA71</f>
        <v>0.4060544446862619</v>
      </c>
      <c r="AV71" s="83"/>
      <c r="AW71" s="103">
        <f t="shared" ref="AW71:BC71" si="489">AV71/$AA71</f>
        <v>0</v>
      </c>
      <c r="AX71" s="83"/>
      <c r="AY71" s="103">
        <f t="shared" si="489"/>
        <v>0</v>
      </c>
      <c r="AZ71" s="83"/>
      <c r="BA71" s="103">
        <f t="shared" si="489"/>
        <v>0</v>
      </c>
      <c r="BB71" s="83"/>
      <c r="BC71" s="103">
        <f t="shared" si="489"/>
        <v>0</v>
      </c>
      <c r="BD71" s="104">
        <f t="shared" si="446"/>
        <v>1222.3</v>
      </c>
      <c r="BE71" s="103">
        <f t="shared" ref="BE71" si="490">BD71/$AA71</f>
        <v>2.7330415624450324</v>
      </c>
    </row>
    <row r="72" spans="1:57" x14ac:dyDescent="0.25">
      <c r="A72" s="58" t="s">
        <v>47</v>
      </c>
      <c r="B72" s="59">
        <v>276900</v>
      </c>
      <c r="C72" s="42">
        <v>44815.927777777775</v>
      </c>
      <c r="D72" s="42">
        <f>SUM(D73:D78)</f>
        <v>558033.21333333338</v>
      </c>
      <c r="E72" s="35">
        <f t="shared" si="324"/>
        <v>1.0152878776935115</v>
      </c>
      <c r="F72" s="42">
        <f>SUM(F73:F78)</f>
        <v>46272.119999999995</v>
      </c>
      <c r="G72" s="42">
        <f t="shared" ref="G72:V72" si="491">SUM(G73:G78)</f>
        <v>42819.15</v>
      </c>
      <c r="H72" s="42">
        <f t="shared" si="491"/>
        <v>15259.57</v>
      </c>
      <c r="I72" s="42">
        <f t="shared" si="491"/>
        <v>48644.89</v>
      </c>
      <c r="J72" s="42">
        <f t="shared" si="491"/>
        <v>46973.39</v>
      </c>
      <c r="K72" s="42">
        <f t="shared" si="491"/>
        <v>55868.130000000005</v>
      </c>
      <c r="L72" s="42">
        <f t="shared" si="491"/>
        <v>45622.5</v>
      </c>
      <c r="M72" s="78">
        <f t="shared" si="455"/>
        <v>1.017997445600628</v>
      </c>
      <c r="N72" s="42">
        <f t="shared" si="491"/>
        <v>53092.28</v>
      </c>
      <c r="O72" s="78">
        <f t="shared" si="484"/>
        <v>1.1846743475502943</v>
      </c>
      <c r="P72" s="42">
        <f t="shared" si="491"/>
        <v>49415.19</v>
      </c>
      <c r="Q72" s="78">
        <f t="shared" si="475"/>
        <v>1.102625616611753</v>
      </c>
      <c r="R72" s="42">
        <f t="shared" si="491"/>
        <v>0</v>
      </c>
      <c r="S72" s="42">
        <f t="shared" si="491"/>
        <v>0</v>
      </c>
      <c r="T72" s="42">
        <f t="shared" si="491"/>
        <v>0</v>
      </c>
      <c r="U72" s="78">
        <f t="shared" si="476"/>
        <v>0</v>
      </c>
      <c r="V72" s="42">
        <f t="shared" si="491"/>
        <v>403967.22000000003</v>
      </c>
      <c r="W72" s="78">
        <f t="shared" si="456"/>
        <v>0.72391250260348905</v>
      </c>
      <c r="X72" s="42">
        <f t="shared" si="477"/>
        <v>44885.246666666673</v>
      </c>
      <c r="Y72" s="42">
        <f t="shared" ref="Y72" si="492">SUM(Y73:Y78)</f>
        <v>47578.361466666662</v>
      </c>
      <c r="Z72" s="42">
        <v>49373.771333333338</v>
      </c>
      <c r="AA72" s="42">
        <f>SUM(AA73:AA78)</f>
        <v>611234.62933333335</v>
      </c>
      <c r="AB72" s="81">
        <f t="shared" si="70"/>
        <v>49376.656666666669</v>
      </c>
      <c r="AF72" s="42">
        <f>SUM(AF73:AF78)</f>
        <v>52175.18</v>
      </c>
      <c r="AG72" s="78">
        <f t="shared" ref="AG72:AI135" si="493">AF72/$AA72</f>
        <v>8.5360314183944186E-2</v>
      </c>
      <c r="AH72" s="42">
        <f>SUM(AH73:AH78)</f>
        <v>52371.62</v>
      </c>
      <c r="AI72" s="78">
        <f t="shared" si="493"/>
        <v>8.568169649864428E-2</v>
      </c>
      <c r="AJ72" s="42">
        <f>SUM(AJ73:AJ78)</f>
        <v>56758.79</v>
      </c>
      <c r="AK72" s="78">
        <f t="shared" ref="AK72:AM72" si="494">AJ72/$AA72</f>
        <v>9.2859251220609285E-2</v>
      </c>
      <c r="AL72" s="42">
        <f>SUM(AL73:AL78)</f>
        <v>46407.3</v>
      </c>
      <c r="AM72" s="78">
        <f t="shared" si="494"/>
        <v>7.5923872393512642E-2</v>
      </c>
      <c r="AN72" s="42">
        <f>SUM(AN73:AN78)</f>
        <v>49849.049999999996</v>
      </c>
      <c r="AO72" s="78">
        <f t="shared" ref="AO72:AQ72" si="495">AN72/$AA72</f>
        <v>8.1554688834253042E-2</v>
      </c>
      <c r="AP72" s="42">
        <f>SUM(AP73:AP78)</f>
        <v>48023.23</v>
      </c>
      <c r="AQ72" s="78">
        <f t="shared" si="495"/>
        <v>7.8567587134875508E-2</v>
      </c>
      <c r="AR72" s="42">
        <f>SUM(AR73:AR78)</f>
        <v>53401.18</v>
      </c>
      <c r="AS72" s="78">
        <f t="shared" ref="AS72" si="496">AR72/$AA72</f>
        <v>8.7366090593139434E-2</v>
      </c>
      <c r="AT72" s="42">
        <f>SUM(AT73:AT78)</f>
        <v>55605.37000000001</v>
      </c>
      <c r="AU72" s="78">
        <f t="shared" ref="AU72" si="497">AT72/$AA72</f>
        <v>9.0972218083664791E-2</v>
      </c>
      <c r="AV72" s="42">
        <f>SUM(AV73:AV78)</f>
        <v>56971.44</v>
      </c>
      <c r="AW72" s="78">
        <f t="shared" ref="AW72:BC72" si="498">AV72/$AA72</f>
        <v>9.32071536295941E-2</v>
      </c>
      <c r="AX72" s="42">
        <f>SUM(AX73:AX78)</f>
        <v>0</v>
      </c>
      <c r="AY72" s="78">
        <f t="shared" si="498"/>
        <v>0</v>
      </c>
      <c r="AZ72" s="42">
        <f>SUM(AZ73:AZ78)</f>
        <v>0</v>
      </c>
      <c r="BA72" s="78">
        <f t="shared" si="498"/>
        <v>0</v>
      </c>
      <c r="BB72" s="42">
        <f>SUM(BB73:BB78)</f>
        <v>0</v>
      </c>
      <c r="BC72" s="78">
        <f t="shared" si="498"/>
        <v>0</v>
      </c>
      <c r="BD72" s="42">
        <f t="shared" ref="BD72" si="499">SUM(BD73:BD78)</f>
        <v>471563.16</v>
      </c>
      <c r="BE72" s="78">
        <f t="shared" ref="BE72" si="500">BD72/$AA72</f>
        <v>0.7714928725722372</v>
      </c>
    </row>
    <row r="73" spans="1:57" x14ac:dyDescent="0.25">
      <c r="A73" s="60" t="s">
        <v>48</v>
      </c>
      <c r="B73" s="54">
        <v>54000</v>
      </c>
      <c r="C73" s="38">
        <v>5206.84</v>
      </c>
      <c r="D73" s="38">
        <f>C73*12</f>
        <v>62482.080000000002</v>
      </c>
      <c r="E73" s="35">
        <f t="shared" si="324"/>
        <v>0.15707555555555563</v>
      </c>
      <c r="F73" s="38">
        <v>4460.67</v>
      </c>
      <c r="G73" s="38">
        <v>4460.67</v>
      </c>
      <c r="H73" s="38">
        <v>8921.34</v>
      </c>
      <c r="I73" s="38">
        <v>8921.34</v>
      </c>
      <c r="J73" s="38">
        <v>4460.67</v>
      </c>
      <c r="K73" s="38">
        <v>4460.67</v>
      </c>
      <c r="L73" s="38">
        <v>4460.67</v>
      </c>
      <c r="M73" s="75">
        <f t="shared" si="455"/>
        <v>0.85669427138149046</v>
      </c>
      <c r="N73" s="38">
        <v>4460.67</v>
      </c>
      <c r="O73" s="75">
        <f t="shared" si="484"/>
        <v>0.85669427138149046</v>
      </c>
      <c r="P73" s="38">
        <v>4460.67</v>
      </c>
      <c r="Q73" s="75">
        <f t="shared" si="475"/>
        <v>0.85669427138149046</v>
      </c>
      <c r="R73" s="38"/>
      <c r="S73" s="38"/>
      <c r="T73" s="38"/>
      <c r="U73" s="75">
        <f t="shared" si="476"/>
        <v>0</v>
      </c>
      <c r="V73" s="38">
        <f t="shared" ref="V73:V78" si="501">T73+S73+R73+P73+N73+L73+K73+J73+I73+H73+G73+F73</f>
        <v>49067.369999999995</v>
      </c>
      <c r="W73" s="75">
        <f t="shared" si="456"/>
        <v>0.78530308209969957</v>
      </c>
      <c r="X73" s="38">
        <f t="shared" si="477"/>
        <v>5451.9299999999994</v>
      </c>
      <c r="Y73" s="83">
        <f t="shared" ref="Y73:Y78" si="502">X73+(X73*$Y$2)</f>
        <v>5779.045799999999</v>
      </c>
      <c r="Z73" s="83">
        <v>5997.1229999999996</v>
      </c>
      <c r="AA73" s="83">
        <f t="shared" si="345"/>
        <v>71965.475999999995</v>
      </c>
      <c r="AB73" s="81">
        <f t="shared" ref="AB73:AB136" si="503">(L73+N73+P73)/3</f>
        <v>4460.67</v>
      </c>
      <c r="AF73" s="83">
        <v>4912.09</v>
      </c>
      <c r="AG73" s="103">
        <f t="shared" si="493"/>
        <v>6.8256201070635597E-2</v>
      </c>
      <c r="AH73" s="96">
        <v>4912.09</v>
      </c>
      <c r="AI73" s="103">
        <f t="shared" si="493"/>
        <v>6.8256201070635597E-2</v>
      </c>
      <c r="AJ73" s="83">
        <v>9824.18</v>
      </c>
      <c r="AK73" s="103">
        <f t="shared" ref="AK73:AM73" si="504">AJ73/$AA73</f>
        <v>0.13651240214127119</v>
      </c>
      <c r="AL73" s="83">
        <v>4912.09</v>
      </c>
      <c r="AM73" s="103">
        <f t="shared" si="504"/>
        <v>6.8256201070635597E-2</v>
      </c>
      <c r="AN73" s="83">
        <v>5480</v>
      </c>
      <c r="AO73" s="103">
        <f t="shared" ref="AO73:AQ73" si="505">AN73/$AA73</f>
        <v>7.6147623896769615E-2</v>
      </c>
      <c r="AP73" s="83">
        <v>5480</v>
      </c>
      <c r="AQ73" s="103">
        <f t="shared" si="505"/>
        <v>7.6147623896769615E-2</v>
      </c>
      <c r="AR73" s="83">
        <v>5480</v>
      </c>
      <c r="AS73" s="103">
        <f t="shared" ref="AS73" si="506">AR73/$AA73</f>
        <v>7.6147623896769615E-2</v>
      </c>
      <c r="AT73" s="83">
        <v>5480</v>
      </c>
      <c r="AU73" s="103">
        <f t="shared" ref="AU73" si="507">AT73/$AA73</f>
        <v>7.6147623896769615E-2</v>
      </c>
      <c r="AV73" s="83">
        <v>5480</v>
      </c>
      <c r="AW73" s="103">
        <f t="shared" ref="AW73:BC73" si="508">AV73/$AA73</f>
        <v>7.6147623896769615E-2</v>
      </c>
      <c r="AX73" s="83"/>
      <c r="AY73" s="103">
        <f t="shared" si="508"/>
        <v>0</v>
      </c>
      <c r="AZ73" s="83"/>
      <c r="BA73" s="103">
        <f t="shared" si="508"/>
        <v>0</v>
      </c>
      <c r="BB73" s="83"/>
      <c r="BC73" s="103">
        <f t="shared" si="508"/>
        <v>0</v>
      </c>
      <c r="BD73" s="104">
        <f t="shared" ref="BD73:BD78" si="509">AF73+AH73+AJ73+AL73+AN73+AP73+AR73+AT73+AV73+AX73+AZ73+BB73</f>
        <v>51960.45</v>
      </c>
      <c r="BE73" s="103">
        <f t="shared" ref="BE73" si="510">BD73/$AA73</f>
        <v>0.72201912483702602</v>
      </c>
    </row>
    <row r="74" spans="1:57" x14ac:dyDescent="0.25">
      <c r="A74" s="60" t="s">
        <v>49</v>
      </c>
      <c r="B74" s="54">
        <v>27400</v>
      </c>
      <c r="C74" s="38">
        <v>1141.6666666666667</v>
      </c>
      <c r="D74" s="38">
        <f>B74/2</f>
        <v>13700</v>
      </c>
      <c r="E74" s="35">
        <f t="shared" si="324"/>
        <v>-0.5</v>
      </c>
      <c r="F74" s="38">
        <v>257.7</v>
      </c>
      <c r="G74" s="38">
        <v>257.7</v>
      </c>
      <c r="H74" s="38">
        <v>257.7</v>
      </c>
      <c r="I74" s="38">
        <v>257.7</v>
      </c>
      <c r="J74" s="38">
        <v>257.7</v>
      </c>
      <c r="K74" s="38">
        <v>257.7</v>
      </c>
      <c r="L74" s="38">
        <v>285.3</v>
      </c>
      <c r="M74" s="75">
        <f t="shared" si="455"/>
        <v>0.24989781021897808</v>
      </c>
      <c r="N74" s="38">
        <v>6285.3</v>
      </c>
      <c r="O74" s="75">
        <f t="shared" si="484"/>
        <v>5.5053722627737223</v>
      </c>
      <c r="P74" s="38">
        <v>285.3</v>
      </c>
      <c r="Q74" s="75">
        <f t="shared" si="475"/>
        <v>0.24989781021897808</v>
      </c>
      <c r="R74" s="38"/>
      <c r="S74" s="38"/>
      <c r="T74" s="38"/>
      <c r="U74" s="75">
        <f t="shared" si="476"/>
        <v>0</v>
      </c>
      <c r="V74" s="38">
        <f t="shared" si="501"/>
        <v>8402.1</v>
      </c>
      <c r="W74" s="75">
        <f t="shared" si="456"/>
        <v>0.61329197080291975</v>
      </c>
      <c r="X74" s="38">
        <f t="shared" si="477"/>
        <v>933.56666666666672</v>
      </c>
      <c r="Y74" s="83">
        <f t="shared" si="502"/>
        <v>989.58066666666673</v>
      </c>
      <c r="Z74" s="83">
        <v>1026.9233333333334</v>
      </c>
      <c r="AA74" s="83">
        <f t="shared" si="345"/>
        <v>12323.080000000002</v>
      </c>
      <c r="AB74" s="81">
        <f t="shared" si="503"/>
        <v>2285.3000000000002</v>
      </c>
      <c r="AF74" s="83">
        <v>2685.39</v>
      </c>
      <c r="AG74" s="103">
        <f t="shared" si="493"/>
        <v>0.21791548866030241</v>
      </c>
      <c r="AH74" s="96">
        <v>4285.3</v>
      </c>
      <c r="AI74" s="103">
        <f t="shared" si="493"/>
        <v>0.34774585574385619</v>
      </c>
      <c r="AJ74" s="83">
        <v>291</v>
      </c>
      <c r="AK74" s="103">
        <f t="shared" ref="AK74:AM74" si="511">AJ74/$AA74</f>
        <v>2.3614226313551478E-2</v>
      </c>
      <c r="AL74" s="83">
        <v>285.3</v>
      </c>
      <c r="AM74" s="103">
        <f t="shared" si="511"/>
        <v>2.3151679612564389E-2</v>
      </c>
      <c r="AN74" s="83">
        <v>4977.8</v>
      </c>
      <c r="AO74" s="103">
        <f t="shared" ref="AO74:AQ74" si="512">AN74/$AA74</f>
        <v>0.40394122248658609</v>
      </c>
      <c r="AP74" s="83">
        <f>5285.29-4692.5</f>
        <v>592.79</v>
      </c>
      <c r="AQ74" s="103">
        <f t="shared" si="512"/>
        <v>4.8104045417217113E-2</v>
      </c>
      <c r="AR74" s="83">
        <v>296.54000000000002</v>
      </c>
      <c r="AS74" s="103">
        <f t="shared" ref="AS74" si="513">AR74/$AA74</f>
        <v>2.406378924749332E-2</v>
      </c>
      <c r="AT74" s="83">
        <v>515.80999999999995</v>
      </c>
      <c r="AU74" s="103">
        <f t="shared" ref="AU74" si="514">AT74/$AA74</f>
        <v>4.1857230497570404E-2</v>
      </c>
      <c r="AV74" s="83">
        <v>296.54000000000002</v>
      </c>
      <c r="AW74" s="103">
        <f t="shared" ref="AW74:BC74" si="515">AV74/$AA74</f>
        <v>2.406378924749332E-2</v>
      </c>
      <c r="AX74" s="83"/>
      <c r="AY74" s="103">
        <f t="shared" si="515"/>
        <v>0</v>
      </c>
      <c r="AZ74" s="83"/>
      <c r="BA74" s="103">
        <f t="shared" si="515"/>
        <v>0</v>
      </c>
      <c r="BB74" s="83"/>
      <c r="BC74" s="103">
        <f t="shared" si="515"/>
        <v>0</v>
      </c>
      <c r="BD74" s="104">
        <f t="shared" si="509"/>
        <v>14226.470000000003</v>
      </c>
      <c r="BE74" s="103">
        <f t="shared" ref="BE74" si="516">BD74/$AA74</f>
        <v>1.154457327226635</v>
      </c>
    </row>
    <row r="75" spans="1:57" x14ac:dyDescent="0.25">
      <c r="A75" s="98" t="s">
        <v>146</v>
      </c>
      <c r="B75" s="94">
        <v>22000</v>
      </c>
      <c r="C75" s="46">
        <v>1666.6666666666667</v>
      </c>
      <c r="D75" s="46">
        <v>26000</v>
      </c>
      <c r="E75" s="95">
        <f t="shared" si="324"/>
        <v>0.18181818181818188</v>
      </c>
      <c r="F75" s="46">
        <v>3041.4</v>
      </c>
      <c r="G75" s="46">
        <f>353.43</f>
        <v>353.43</v>
      </c>
      <c r="H75" s="46">
        <v>520.91</v>
      </c>
      <c r="I75" s="46">
        <v>1703.71</v>
      </c>
      <c r="J75" s="46"/>
      <c r="K75" s="46"/>
      <c r="L75" s="46">
        <v>3411.09</v>
      </c>
      <c r="M75" s="76">
        <f t="shared" si="455"/>
        <v>2.0466540000000002</v>
      </c>
      <c r="N75" s="46">
        <v>3411.08</v>
      </c>
      <c r="O75" s="76">
        <f t="shared" si="484"/>
        <v>2.0466479999999998</v>
      </c>
      <c r="P75" s="46">
        <v>3411.08</v>
      </c>
      <c r="Q75" s="76">
        <f t="shared" si="475"/>
        <v>2.0466479999999998</v>
      </c>
      <c r="R75" s="46"/>
      <c r="S75" s="46"/>
      <c r="T75" s="46"/>
      <c r="U75" s="76">
        <f t="shared" si="476"/>
        <v>0</v>
      </c>
      <c r="V75" s="46">
        <f t="shared" si="501"/>
        <v>15852.699999999999</v>
      </c>
      <c r="W75" s="76">
        <f t="shared" si="456"/>
        <v>0.60971923076923074</v>
      </c>
      <c r="X75" s="46">
        <f t="shared" si="477"/>
        <v>1761.411111111111</v>
      </c>
      <c r="Y75" s="96">
        <f t="shared" si="502"/>
        <v>1867.0957777777776</v>
      </c>
      <c r="Z75" s="96">
        <v>2500</v>
      </c>
      <c r="AA75" s="96">
        <f t="shared" si="345"/>
        <v>30000</v>
      </c>
      <c r="AB75" s="81">
        <f t="shared" si="503"/>
        <v>3411.0833333333335</v>
      </c>
      <c r="AF75" s="96">
        <v>3411.08</v>
      </c>
      <c r="AG75" s="102">
        <f t="shared" si="493"/>
        <v>0.11370266666666666</v>
      </c>
      <c r="AH75" s="96">
        <v>3411.07</v>
      </c>
      <c r="AI75" s="102">
        <f t="shared" si="493"/>
        <v>0.11370233333333334</v>
      </c>
      <c r="AJ75" s="96">
        <v>305.25</v>
      </c>
      <c r="AK75" s="102">
        <f t="shared" ref="AK75:AM75" si="517">AJ75/$AA75</f>
        <v>1.0175E-2</v>
      </c>
      <c r="AL75" s="96">
        <v>61.05</v>
      </c>
      <c r="AM75" s="102">
        <f t="shared" si="517"/>
        <v>2.0349999999999999E-3</v>
      </c>
      <c r="AN75" s="96"/>
      <c r="AO75" s="102">
        <f t="shared" ref="AO75:AQ75" si="518">AN75/$AA75</f>
        <v>0</v>
      </c>
      <c r="AP75" s="96"/>
      <c r="AQ75" s="102">
        <f t="shared" si="518"/>
        <v>0</v>
      </c>
      <c r="AR75" s="96"/>
      <c r="AS75" s="102">
        <f t="shared" ref="AS75" si="519">AR75/$AA75</f>
        <v>0</v>
      </c>
      <c r="AT75" s="96">
        <v>4288.21</v>
      </c>
      <c r="AU75" s="102">
        <f t="shared" ref="AU75" si="520">AT75/$AA75</f>
        <v>0.14294033333333334</v>
      </c>
      <c r="AV75" s="96">
        <v>4288.21</v>
      </c>
      <c r="AW75" s="102">
        <f t="shared" ref="AW75:BC75" si="521">AV75/$AA75</f>
        <v>0.14294033333333334</v>
      </c>
      <c r="AX75" s="96"/>
      <c r="AY75" s="102">
        <f t="shared" si="521"/>
        <v>0</v>
      </c>
      <c r="AZ75" s="96"/>
      <c r="BA75" s="102">
        <f t="shared" si="521"/>
        <v>0</v>
      </c>
      <c r="BB75" s="96"/>
      <c r="BC75" s="102">
        <f t="shared" si="521"/>
        <v>0</v>
      </c>
      <c r="BD75" s="104">
        <f t="shared" si="509"/>
        <v>15764.869999999999</v>
      </c>
      <c r="BE75" s="102">
        <f t="shared" ref="BE75" si="522">BD75/$AA75</f>
        <v>0.52549566666666658</v>
      </c>
    </row>
    <row r="76" spans="1:57" x14ac:dyDescent="0.25">
      <c r="A76" s="63" t="s">
        <v>50</v>
      </c>
      <c r="B76" s="54">
        <v>9500</v>
      </c>
      <c r="C76" s="38">
        <v>791.66666666666663</v>
      </c>
      <c r="D76" s="38">
        <f>B76</f>
        <v>9500</v>
      </c>
      <c r="E76" s="35">
        <f t="shared" si="324"/>
        <v>0</v>
      </c>
      <c r="F76" s="38"/>
      <c r="G76" s="38"/>
      <c r="H76" s="38"/>
      <c r="I76" s="38"/>
      <c r="J76" s="38"/>
      <c r="K76" s="38"/>
      <c r="L76" s="38"/>
      <c r="M76" s="75">
        <f t="shared" si="455"/>
        <v>0</v>
      </c>
      <c r="N76" s="38"/>
      <c r="O76" s="75">
        <f t="shared" si="484"/>
        <v>0</v>
      </c>
      <c r="P76" s="38"/>
      <c r="Q76" s="75">
        <f t="shared" si="475"/>
        <v>0</v>
      </c>
      <c r="R76" s="38"/>
      <c r="S76" s="38"/>
      <c r="T76" s="38"/>
      <c r="U76" s="75" t="e">
        <f t="shared" si="476"/>
        <v>#DIV/0!</v>
      </c>
      <c r="V76" s="38">
        <f t="shared" si="501"/>
        <v>0</v>
      </c>
      <c r="W76" s="75">
        <f t="shared" si="456"/>
        <v>0</v>
      </c>
      <c r="X76" s="38">
        <f t="shared" si="477"/>
        <v>0</v>
      </c>
      <c r="Y76" s="84">
        <f t="shared" si="502"/>
        <v>0</v>
      </c>
      <c r="Z76" s="84">
        <v>1000</v>
      </c>
      <c r="AA76" s="84">
        <f t="shared" si="345"/>
        <v>12000</v>
      </c>
      <c r="AB76" s="81">
        <f t="shared" si="503"/>
        <v>0</v>
      </c>
      <c r="AF76" s="84"/>
      <c r="AG76" s="37">
        <f t="shared" si="493"/>
        <v>0</v>
      </c>
      <c r="AH76" s="96"/>
      <c r="AI76" s="37">
        <f t="shared" si="493"/>
        <v>0</v>
      </c>
      <c r="AJ76" s="84"/>
      <c r="AK76" s="37">
        <f t="shared" ref="AK76:AM76" si="523">AJ76/$AA76</f>
        <v>0</v>
      </c>
      <c r="AL76" s="84"/>
      <c r="AM76" s="37">
        <f t="shared" si="523"/>
        <v>0</v>
      </c>
      <c r="AN76" s="84"/>
      <c r="AO76" s="37">
        <f t="shared" ref="AO76:AQ76" si="524">AN76/$AA76</f>
        <v>0</v>
      </c>
      <c r="AP76" s="84"/>
      <c r="AQ76" s="37">
        <f t="shared" si="524"/>
        <v>0</v>
      </c>
      <c r="AR76" s="84"/>
      <c r="AS76" s="37">
        <f t="shared" ref="AS76" si="525">AR76/$AA76</f>
        <v>0</v>
      </c>
      <c r="AT76" s="84"/>
      <c r="AU76" s="37">
        <f t="shared" ref="AU76" si="526">AT76/$AA76</f>
        <v>0</v>
      </c>
      <c r="AV76" s="84"/>
      <c r="AW76" s="37">
        <f t="shared" ref="AW76:BC76" si="527">AV76/$AA76</f>
        <v>0</v>
      </c>
      <c r="AX76" s="84"/>
      <c r="AY76" s="37">
        <f t="shared" si="527"/>
        <v>0</v>
      </c>
      <c r="AZ76" s="84"/>
      <c r="BA76" s="37">
        <f t="shared" si="527"/>
        <v>0</v>
      </c>
      <c r="BB76" s="84"/>
      <c r="BC76" s="37">
        <f t="shared" si="527"/>
        <v>0</v>
      </c>
      <c r="BD76" s="104">
        <f t="shared" si="509"/>
        <v>0</v>
      </c>
      <c r="BE76" s="37">
        <f t="shared" ref="BE76" si="528">BD76/$AA76</f>
        <v>0</v>
      </c>
    </row>
    <row r="77" spans="1:57" ht="16.899999999999999" customHeight="1" x14ac:dyDescent="0.25">
      <c r="A77" s="62" t="s">
        <v>160</v>
      </c>
      <c r="B77" s="54">
        <v>114000</v>
      </c>
      <c r="C77" s="38">
        <v>30100</v>
      </c>
      <c r="D77" s="38">
        <f>C77*12</f>
        <v>361200</v>
      </c>
      <c r="E77" s="35">
        <f t="shared" si="324"/>
        <v>2.168421052631579</v>
      </c>
      <c r="F77" s="38">
        <f>1634.36+30150.44</f>
        <v>31784.799999999999</v>
      </c>
      <c r="G77" s="38">
        <v>33116.6</v>
      </c>
      <c r="H77" s="38"/>
      <c r="I77" s="38">
        <v>32269</v>
      </c>
      <c r="J77" s="38">
        <v>34639</v>
      </c>
      <c r="K77" s="38">
        <f>10554.3+27564.7</f>
        <v>38119</v>
      </c>
      <c r="L77" s="38">
        <v>32259</v>
      </c>
      <c r="M77" s="75">
        <f t="shared" si="455"/>
        <v>1.0717275747508306</v>
      </c>
      <c r="N77" s="38">
        <v>32269.01</v>
      </c>
      <c r="O77" s="75">
        <f t="shared" si="484"/>
        <v>1.0720601328903654</v>
      </c>
      <c r="P77" s="38">
        <v>32269</v>
      </c>
      <c r="Q77" s="75">
        <f t="shared" si="475"/>
        <v>1.0720598006644517</v>
      </c>
      <c r="R77" s="38"/>
      <c r="S77" s="38"/>
      <c r="T77" s="38"/>
      <c r="U77" s="75">
        <f t="shared" si="476"/>
        <v>0</v>
      </c>
      <c r="V77" s="38">
        <f t="shared" si="501"/>
        <v>266725.41000000003</v>
      </c>
      <c r="W77" s="75">
        <f t="shared" si="456"/>
        <v>0.73844244186046526</v>
      </c>
      <c r="X77" s="38">
        <f t="shared" si="477"/>
        <v>29636.156666666669</v>
      </c>
      <c r="Y77" s="83">
        <f t="shared" si="502"/>
        <v>31414.326066666668</v>
      </c>
      <c r="Z77" s="83">
        <v>32599.772333333338</v>
      </c>
      <c r="AA77" s="83">
        <f t="shared" si="345"/>
        <v>391197.26800000004</v>
      </c>
      <c r="AB77" s="81">
        <f t="shared" si="503"/>
        <v>32265.67</v>
      </c>
      <c r="AF77" s="83">
        <f>33893.41-0.01</f>
        <v>33893.4</v>
      </c>
      <c r="AG77" s="103">
        <f t="shared" si="493"/>
        <v>8.664017561595036E-2</v>
      </c>
      <c r="AH77" s="96">
        <f>33893.41-0.01</f>
        <v>33893.4</v>
      </c>
      <c r="AI77" s="103">
        <f t="shared" si="493"/>
        <v>8.664017561595036E-2</v>
      </c>
      <c r="AJ77" s="83">
        <v>39458.67</v>
      </c>
      <c r="AK77" s="103">
        <f t="shared" ref="AK77:AM77" si="529">AJ77/$AA77</f>
        <v>0.10086642527370614</v>
      </c>
      <c r="AL77" s="83">
        <v>33893.410000000003</v>
      </c>
      <c r="AM77" s="103">
        <f t="shared" si="529"/>
        <v>8.6640201178501075E-2</v>
      </c>
      <c r="AN77" s="83">
        <v>33893.4</v>
      </c>
      <c r="AO77" s="103">
        <f t="shared" ref="AO77:AQ77" si="530">AN77/$AA77</f>
        <v>8.664017561595036E-2</v>
      </c>
      <c r="AP77" s="83">
        <v>33893.410000000003</v>
      </c>
      <c r="AQ77" s="103">
        <f t="shared" si="530"/>
        <v>8.6640201178501075E-2</v>
      </c>
      <c r="AR77" s="83">
        <v>39458.68</v>
      </c>
      <c r="AS77" s="103">
        <f t="shared" ref="AS77" si="531">AR77/$AA77</f>
        <v>0.10086645083625685</v>
      </c>
      <c r="AT77" s="83">
        <v>33893.410000000003</v>
      </c>
      <c r="AU77" s="103">
        <f t="shared" ref="AU77" si="532">AT77/$AA77</f>
        <v>8.6640201178501075E-2</v>
      </c>
      <c r="AV77" s="83">
        <v>34384.43</v>
      </c>
      <c r="AW77" s="103">
        <f t="shared" ref="AW77:BC77" si="533">AV77/$AA77</f>
        <v>8.789537354335511E-2</v>
      </c>
      <c r="AX77" s="83"/>
      <c r="AY77" s="103">
        <f t="shared" si="533"/>
        <v>0</v>
      </c>
      <c r="AZ77" s="83"/>
      <c r="BA77" s="103">
        <f t="shared" si="533"/>
        <v>0</v>
      </c>
      <c r="BB77" s="83"/>
      <c r="BC77" s="103">
        <f t="shared" si="533"/>
        <v>0</v>
      </c>
      <c r="BD77" s="104">
        <f t="shared" si="509"/>
        <v>316662.21000000002</v>
      </c>
      <c r="BE77" s="103">
        <f t="shared" ref="BE77" si="534">BD77/$AA77</f>
        <v>0.80946938003667246</v>
      </c>
    </row>
    <row r="78" spans="1:57" x14ac:dyDescent="0.25">
      <c r="A78" s="62" t="s">
        <v>51</v>
      </c>
      <c r="B78" s="54">
        <v>50000</v>
      </c>
      <c r="C78" s="38">
        <v>7095.9277777777788</v>
      </c>
      <c r="D78" s="38">
        <f>C78*12</f>
        <v>85151.133333333346</v>
      </c>
      <c r="E78" s="35">
        <f t="shared" si="324"/>
        <v>0.70302266666666702</v>
      </c>
      <c r="F78" s="38">
        <f>4677.48-1634.36+3684.43</f>
        <v>6727.5499999999993</v>
      </c>
      <c r="G78" s="38">
        <f>13217.62-11160+2573.13</f>
        <v>4630.7500000000009</v>
      </c>
      <c r="H78" s="38">
        <f>2772.5+2787.12</f>
        <v>5559.62</v>
      </c>
      <c r="I78" s="38">
        <f>4374.37+2753.13-1634.36</f>
        <v>5493.14</v>
      </c>
      <c r="J78" s="38">
        <f>3732.3+3883.72</f>
        <v>7616.02</v>
      </c>
      <c r="K78" s="38">
        <f>2705.66+10325.1</f>
        <v>13030.76</v>
      </c>
      <c r="L78" s="38">
        <f>3584.1+1622.34</f>
        <v>5206.4399999999996</v>
      </c>
      <c r="M78" s="75">
        <f t="shared" si="455"/>
        <v>0.73372223661928149</v>
      </c>
      <c r="N78" s="38">
        <f>2663.72+4002.5</f>
        <v>6666.2199999999993</v>
      </c>
      <c r="O78" s="75">
        <f t="shared" si="484"/>
        <v>0.93944304518945509</v>
      </c>
      <c r="P78" s="38">
        <f>6001.45+2987.69</f>
        <v>8989.14</v>
      </c>
      <c r="Q78" s="75">
        <f t="shared" si="475"/>
        <v>1.266802634061633</v>
      </c>
      <c r="R78" s="38"/>
      <c r="S78" s="38"/>
      <c r="T78" s="38"/>
      <c r="U78" s="75">
        <f t="shared" si="476"/>
        <v>0</v>
      </c>
      <c r="V78" s="38">
        <f t="shared" si="501"/>
        <v>63919.64</v>
      </c>
      <c r="W78" s="75">
        <f t="shared" si="456"/>
        <v>0.75066105990368481</v>
      </c>
      <c r="X78" s="38">
        <f t="shared" si="477"/>
        <v>7102.1822222222218</v>
      </c>
      <c r="Y78" s="83">
        <f t="shared" si="502"/>
        <v>7528.3131555555547</v>
      </c>
      <c r="Z78" s="83">
        <v>7812.4004444444436</v>
      </c>
      <c r="AA78" s="83">
        <f t="shared" si="345"/>
        <v>93748.805333333323</v>
      </c>
      <c r="AB78" s="81">
        <f t="shared" si="503"/>
        <v>6953.9333333333334</v>
      </c>
      <c r="AF78" s="83">
        <f>3381.85+3891.37</f>
        <v>7273.2199999999993</v>
      </c>
      <c r="AG78" s="103">
        <f t="shared" si="493"/>
        <v>7.7582001969404651E-2</v>
      </c>
      <c r="AH78" s="96">
        <f>2437.58+2138.66+1293.52</f>
        <v>5869.76</v>
      </c>
      <c r="AI78" s="103">
        <f t="shared" si="493"/>
        <v>6.2611571199541985E-2</v>
      </c>
      <c r="AJ78" s="83">
        <f>2653.58+2932.59+1293.52</f>
        <v>6879.6900000000005</v>
      </c>
      <c r="AK78" s="103">
        <f t="shared" ref="AK78:AM78" si="535">AJ78/$AA78</f>
        <v>7.3384295144226841E-2</v>
      </c>
      <c r="AL78" s="83">
        <f>4183.28+3072.17</f>
        <v>7255.45</v>
      </c>
      <c r="AM78" s="103">
        <f t="shared" si="535"/>
        <v>7.7392452887292976E-2</v>
      </c>
      <c r="AN78" s="83">
        <f>2679.75+2818.1</f>
        <v>5497.85</v>
      </c>
      <c r="AO78" s="103">
        <f t="shared" ref="AO78:AQ78" si="536">AN78/$AA78</f>
        <v>5.8644480646466275E-2</v>
      </c>
      <c r="AP78" s="83">
        <f>6807.69+1600.34-351</f>
        <v>8057.0299999999988</v>
      </c>
      <c r="AQ78" s="103">
        <f t="shared" si="536"/>
        <v>8.59427485113268E-2</v>
      </c>
      <c r="AR78" s="83">
        <f>3451.97+4463.99+250</f>
        <v>8165.9599999999991</v>
      </c>
      <c r="AS78" s="103">
        <f t="shared" ref="AS78" si="537">AR78/$AA78</f>
        <v>8.7104683317991149E-2</v>
      </c>
      <c r="AT78" s="83">
        <f>5541.73+5886.21</f>
        <v>11427.939999999999</v>
      </c>
      <c r="AU78" s="103">
        <f t="shared" ref="AU78" si="538">AT78/$AA78</f>
        <v>0.1218995800465596</v>
      </c>
      <c r="AV78" s="83">
        <f>11078.08+1444.18</f>
        <v>12522.26</v>
      </c>
      <c r="AW78" s="103">
        <f t="shared" ref="AW78:BC78" si="539">AV78/$AA78</f>
        <v>0.13357247546222956</v>
      </c>
      <c r="AX78" s="83"/>
      <c r="AY78" s="103">
        <f t="shared" si="539"/>
        <v>0</v>
      </c>
      <c r="AZ78" s="83"/>
      <c r="BA78" s="103">
        <f t="shared" si="539"/>
        <v>0</v>
      </c>
      <c r="BB78" s="83"/>
      <c r="BC78" s="103">
        <f t="shared" si="539"/>
        <v>0</v>
      </c>
      <c r="BD78" s="104">
        <f t="shared" si="509"/>
        <v>72949.159999999989</v>
      </c>
      <c r="BE78" s="103">
        <f t="shared" ref="BE78" si="540">BD78/$AA78</f>
        <v>0.7781342891850398</v>
      </c>
    </row>
    <row r="79" spans="1:57" x14ac:dyDescent="0.25">
      <c r="A79" s="58" t="s">
        <v>52</v>
      </c>
      <c r="B79" s="59">
        <v>46600</v>
      </c>
      <c r="C79" s="42">
        <v>4775.5511111111109</v>
      </c>
      <c r="D79" s="42">
        <f>SUM(D80:D87)</f>
        <v>57306.613333333327</v>
      </c>
      <c r="E79" s="35">
        <f t="shared" si="324"/>
        <v>0.22975565092989969</v>
      </c>
      <c r="F79" s="42">
        <f>SUM(F80:F87)</f>
        <v>2595.65</v>
      </c>
      <c r="G79" s="42">
        <f t="shared" ref="G79:V79" si="541">SUM(G80:G87)</f>
        <v>7061.54</v>
      </c>
      <c r="H79" s="42">
        <f t="shared" si="541"/>
        <v>2054.6999999999998</v>
      </c>
      <c r="I79" s="42">
        <f t="shared" si="541"/>
        <v>5122.54</v>
      </c>
      <c r="J79" s="42">
        <f t="shared" si="541"/>
        <v>3534.63</v>
      </c>
      <c r="K79" s="42">
        <f t="shared" si="541"/>
        <v>3147.2799999999997</v>
      </c>
      <c r="L79" s="42">
        <f t="shared" si="541"/>
        <v>1617.54</v>
      </c>
      <c r="M79" s="78">
        <f t="shared" si="455"/>
        <v>0.3387127396116702</v>
      </c>
      <c r="N79" s="42">
        <f t="shared" si="541"/>
        <v>5560.0300000000007</v>
      </c>
      <c r="O79" s="78">
        <f t="shared" si="484"/>
        <v>1.1642698131873555</v>
      </c>
      <c r="P79" s="42">
        <f t="shared" si="541"/>
        <v>3469.52</v>
      </c>
      <c r="Q79" s="78">
        <f t="shared" si="475"/>
        <v>0.72651719545574267</v>
      </c>
      <c r="R79" s="42">
        <f t="shared" si="541"/>
        <v>0</v>
      </c>
      <c r="S79" s="42">
        <f t="shared" si="541"/>
        <v>0</v>
      </c>
      <c r="T79" s="42">
        <f t="shared" si="541"/>
        <v>0</v>
      </c>
      <c r="U79" s="78">
        <f t="shared" si="476"/>
        <v>0</v>
      </c>
      <c r="V79" s="42">
        <f t="shared" si="541"/>
        <v>34163.43</v>
      </c>
      <c r="W79" s="78">
        <f t="shared" si="456"/>
        <v>0.59615161344961709</v>
      </c>
      <c r="X79" s="42">
        <f t="shared" si="477"/>
        <v>3795.9366666666665</v>
      </c>
      <c r="Y79" s="42">
        <f t="shared" ref="Y79" si="542">SUM(Y80:Y87)</f>
        <v>4023.6928666666668</v>
      </c>
      <c r="Z79" s="42">
        <v>4175.5303333333341</v>
      </c>
      <c r="AA79" s="42">
        <f>SUM(AA80:AA87)</f>
        <v>53706.364000000001</v>
      </c>
      <c r="AB79" s="81">
        <f t="shared" si="503"/>
        <v>3549.03</v>
      </c>
      <c r="AF79" s="42">
        <f>SUM(AF80:AF87)</f>
        <v>2218.88</v>
      </c>
      <c r="AG79" s="78">
        <f t="shared" si="493"/>
        <v>4.1315029257985143E-2</v>
      </c>
      <c r="AH79" s="42">
        <f>SUM(AH80:AH87)</f>
        <v>7451.91</v>
      </c>
      <c r="AI79" s="78">
        <f t="shared" si="493"/>
        <v>0.13875283011153017</v>
      </c>
      <c r="AJ79" s="42">
        <f>SUM(AJ80:AJ87)</f>
        <v>2048.1799999999998</v>
      </c>
      <c r="AK79" s="78">
        <f t="shared" ref="AK79:AM79" si="543">AJ79/$AA79</f>
        <v>3.8136634980539735E-2</v>
      </c>
      <c r="AL79" s="42">
        <f>SUM(AL80:AL87)</f>
        <v>2552.42</v>
      </c>
      <c r="AM79" s="78">
        <f t="shared" si="543"/>
        <v>4.7525466441928559E-2</v>
      </c>
      <c r="AN79" s="42">
        <f>SUM(AN80:AN87)</f>
        <v>1239.99</v>
      </c>
      <c r="AO79" s="78">
        <f t="shared" ref="AO79:AQ79" si="544">AN79/$AA79</f>
        <v>2.3088325249499296E-2</v>
      </c>
      <c r="AP79" s="42">
        <f>SUM(AP80:AP87)</f>
        <v>3725.98</v>
      </c>
      <c r="AQ79" s="78">
        <f t="shared" si="544"/>
        <v>6.9376880549947492E-2</v>
      </c>
      <c r="AR79" s="42">
        <f>SUM(AR80:AR87)</f>
        <v>1604</v>
      </c>
      <c r="AS79" s="78">
        <f t="shared" ref="AS79" si="545">AR79/$AA79</f>
        <v>2.9866106742955079E-2</v>
      </c>
      <c r="AT79" s="42">
        <f>SUM(AT80:AT87)</f>
        <v>3784.29</v>
      </c>
      <c r="AU79" s="78">
        <f t="shared" ref="AU79" si="546">AT79/$AA79</f>
        <v>7.0462599180983465E-2</v>
      </c>
      <c r="AV79" s="42">
        <f>SUM(AV80:AV87)</f>
        <v>3937.8900000000003</v>
      </c>
      <c r="AW79" s="78">
        <f t="shared" ref="AW79:BC79" si="547">AV79/$AA79</f>
        <v>7.332259543766545E-2</v>
      </c>
      <c r="AX79" s="42">
        <f>SUM(AX80:AX87)</f>
        <v>0</v>
      </c>
      <c r="AY79" s="78">
        <f t="shared" si="547"/>
        <v>0</v>
      </c>
      <c r="AZ79" s="42">
        <f>SUM(AZ80:AZ87)</f>
        <v>0</v>
      </c>
      <c r="BA79" s="78">
        <f t="shared" si="547"/>
        <v>0</v>
      </c>
      <c r="BB79" s="42">
        <f>SUM(BB80:BB87)</f>
        <v>0</v>
      </c>
      <c r="BC79" s="78">
        <f t="shared" si="547"/>
        <v>0</v>
      </c>
      <c r="BD79" s="42">
        <f t="shared" ref="BD79" si="548">SUM(BD80:BD87)</f>
        <v>28563.54</v>
      </c>
      <c r="BE79" s="78">
        <f t="shared" ref="BE79" si="549">BD79/$AA79</f>
        <v>0.53184646795303436</v>
      </c>
    </row>
    <row r="80" spans="1:57" x14ac:dyDescent="0.25">
      <c r="A80" s="62" t="s">
        <v>107</v>
      </c>
      <c r="B80" s="54">
        <v>600</v>
      </c>
      <c r="C80" s="38">
        <v>50</v>
      </c>
      <c r="D80" s="38">
        <f>C80*12</f>
        <v>600</v>
      </c>
      <c r="E80" s="35">
        <f t="shared" ref="E80:E111" si="550">IFERROR((D80/B80)-1,0)</f>
        <v>0</v>
      </c>
      <c r="F80" s="38"/>
      <c r="G80" s="38"/>
      <c r="H80" s="38"/>
      <c r="I80" s="38"/>
      <c r="J80" s="38"/>
      <c r="K80" s="38"/>
      <c r="L80" s="38"/>
      <c r="M80" s="75">
        <f t="shared" si="455"/>
        <v>0</v>
      </c>
      <c r="N80" s="38"/>
      <c r="O80" s="75">
        <f t="shared" si="484"/>
        <v>0</v>
      </c>
      <c r="P80" s="38"/>
      <c r="Q80" s="75">
        <f t="shared" si="475"/>
        <v>0</v>
      </c>
      <c r="R80" s="38"/>
      <c r="S80" s="38"/>
      <c r="T80" s="38"/>
      <c r="U80" s="75" t="e">
        <f t="shared" si="476"/>
        <v>#DIV/0!</v>
      </c>
      <c r="V80" s="38">
        <f t="shared" ref="V80:V87" si="551">T80+S80+R80+P80+N80+L80+K80+J80+I80+H80+G80+F80</f>
        <v>0</v>
      </c>
      <c r="W80" s="75">
        <f t="shared" si="456"/>
        <v>0</v>
      </c>
      <c r="X80" s="38">
        <f t="shared" si="477"/>
        <v>0</v>
      </c>
      <c r="Y80" s="83">
        <f t="shared" ref="Y80:Y87" si="552">X80+(X80*$Y$2)</f>
        <v>0</v>
      </c>
      <c r="Z80" s="83">
        <v>0</v>
      </c>
      <c r="AA80" s="83">
        <f t="shared" si="345"/>
        <v>0</v>
      </c>
      <c r="AB80" s="81">
        <f t="shared" si="503"/>
        <v>0</v>
      </c>
      <c r="AF80" s="83"/>
      <c r="AG80" s="103"/>
      <c r="AH80" s="96"/>
      <c r="AI80" s="103"/>
      <c r="AJ80" s="83"/>
      <c r="AK80" s="103"/>
      <c r="AL80" s="83"/>
      <c r="AM80" s="103"/>
      <c r="AN80" s="83"/>
      <c r="AO80" s="103"/>
      <c r="AP80" s="83"/>
      <c r="AQ80" s="103"/>
      <c r="AR80" s="83"/>
      <c r="AS80" s="103"/>
      <c r="AT80" s="83"/>
      <c r="AU80" s="103"/>
      <c r="AV80" s="83"/>
      <c r="AW80" s="103"/>
      <c r="AX80" s="83"/>
      <c r="AY80" s="103"/>
      <c r="AZ80" s="83"/>
      <c r="BA80" s="103"/>
      <c r="BB80" s="83"/>
      <c r="BC80" s="103"/>
      <c r="BD80" s="104">
        <f t="shared" ref="BD80:BD87" si="553">AF80+AH80+AJ80+AL80+AN80+AP80+AR80+AT80+AV80+AX80+AZ80+BB80</f>
        <v>0</v>
      </c>
      <c r="BE80" s="103"/>
    </row>
    <row r="81" spans="1:57" x14ac:dyDescent="0.25">
      <c r="A81" s="60" t="s">
        <v>53</v>
      </c>
      <c r="B81" s="54">
        <v>1100</v>
      </c>
      <c r="C81" s="38">
        <v>144.78444444444443</v>
      </c>
      <c r="D81" s="38">
        <f>C81*12</f>
        <v>1737.4133333333332</v>
      </c>
      <c r="E81" s="35">
        <f t="shared" si="550"/>
        <v>0.57946666666666657</v>
      </c>
      <c r="F81" s="38">
        <v>34.9</v>
      </c>
      <c r="G81" s="38">
        <v>250.64</v>
      </c>
      <c r="H81" s="38">
        <v>34.9</v>
      </c>
      <c r="I81" s="38"/>
      <c r="J81" s="38">
        <v>69.8</v>
      </c>
      <c r="K81" s="38"/>
      <c r="L81" s="38">
        <v>34.9</v>
      </c>
      <c r="M81" s="75">
        <f t="shared" si="455"/>
        <v>0.24104799472012034</v>
      </c>
      <c r="N81" s="38">
        <v>237.5</v>
      </c>
      <c r="O81" s="75">
        <f t="shared" si="484"/>
        <v>1.6403695915767502</v>
      </c>
      <c r="P81" s="38">
        <v>34.9</v>
      </c>
      <c r="Q81" s="75">
        <f t="shared" si="475"/>
        <v>0.24104799472012034</v>
      </c>
      <c r="R81" s="38"/>
      <c r="S81" s="38"/>
      <c r="T81" s="38"/>
      <c r="U81" s="75" t="e">
        <f t="shared" si="476"/>
        <v>#DIV/0!</v>
      </c>
      <c r="V81" s="38">
        <f t="shared" si="551"/>
        <v>697.53999999999985</v>
      </c>
      <c r="W81" s="75">
        <f t="shared" si="456"/>
        <v>0.40148189645910393</v>
      </c>
      <c r="X81" s="38">
        <f t="shared" si="477"/>
        <v>77.504444444444431</v>
      </c>
      <c r="Y81" s="83">
        <f t="shared" si="552"/>
        <v>82.154711111111098</v>
      </c>
      <c r="Z81" s="83">
        <v>85.254888888888871</v>
      </c>
      <c r="AA81" s="83">
        <f t="shared" si="345"/>
        <v>1023.0586666666665</v>
      </c>
      <c r="AB81" s="81">
        <f t="shared" si="503"/>
        <v>102.43333333333332</v>
      </c>
      <c r="AF81" s="83"/>
      <c r="AG81" s="103">
        <f t="shared" si="493"/>
        <v>0</v>
      </c>
      <c r="AH81" s="96">
        <v>5000</v>
      </c>
      <c r="AI81" s="103">
        <f t="shared" si="493"/>
        <v>4.8873052571765196</v>
      </c>
      <c r="AJ81" s="83"/>
      <c r="AK81" s="103">
        <f t="shared" ref="AK81:AM81" si="554">AJ81/$AA81</f>
        <v>0</v>
      </c>
      <c r="AL81" s="83">
        <v>681.6</v>
      </c>
      <c r="AM81" s="103">
        <f t="shared" si="554"/>
        <v>0.66623745265830325</v>
      </c>
      <c r="AN81" s="83">
        <v>255</v>
      </c>
      <c r="AO81" s="103">
        <f t="shared" ref="AO81:AQ81" si="555">AN81/$AA81</f>
        <v>0.24925256811600252</v>
      </c>
      <c r="AP81" s="83"/>
      <c r="AQ81" s="103">
        <f t="shared" si="555"/>
        <v>0</v>
      </c>
      <c r="AR81" s="83"/>
      <c r="AS81" s="103">
        <f t="shared" ref="AS81" si="556">AR81/$AA81</f>
        <v>0</v>
      </c>
      <c r="AT81" s="83"/>
      <c r="AU81" s="103">
        <f t="shared" ref="AU81" si="557">AT81/$AA81</f>
        <v>0</v>
      </c>
      <c r="AV81" s="83"/>
      <c r="AW81" s="103">
        <f t="shared" ref="AW81:BC81" si="558">AV81/$AA81</f>
        <v>0</v>
      </c>
      <c r="AX81" s="83"/>
      <c r="AY81" s="103">
        <f t="shared" si="558"/>
        <v>0</v>
      </c>
      <c r="AZ81" s="83"/>
      <c r="BA81" s="103">
        <f t="shared" si="558"/>
        <v>0</v>
      </c>
      <c r="BB81" s="83"/>
      <c r="BC81" s="103">
        <f t="shared" si="558"/>
        <v>0</v>
      </c>
      <c r="BD81" s="104">
        <f t="shared" si="553"/>
        <v>5936.6</v>
      </c>
      <c r="BE81" s="103">
        <f t="shared" ref="BE81" si="559">BD81/$AA81</f>
        <v>5.8027952779508265</v>
      </c>
    </row>
    <row r="82" spans="1:57" x14ac:dyDescent="0.25">
      <c r="A82" s="60" t="s">
        <v>54</v>
      </c>
      <c r="B82" s="54">
        <v>6900</v>
      </c>
      <c r="C82" s="38">
        <v>246.84999999999997</v>
      </c>
      <c r="D82" s="38">
        <f t="shared" ref="D82:D87" si="560">C82*12</f>
        <v>2962.2</v>
      </c>
      <c r="E82" s="35">
        <f t="shared" si="550"/>
        <v>-0.57069565217391305</v>
      </c>
      <c r="F82" s="38"/>
      <c r="G82" s="38"/>
      <c r="H82" s="38"/>
      <c r="I82" s="38">
        <v>3229.37</v>
      </c>
      <c r="J82" s="38">
        <v>148.44</v>
      </c>
      <c r="K82" s="38"/>
      <c r="L82" s="38"/>
      <c r="M82" s="75">
        <f t="shared" si="455"/>
        <v>0</v>
      </c>
      <c r="N82" s="38">
        <v>292.10000000000002</v>
      </c>
      <c r="O82" s="75">
        <f t="shared" si="484"/>
        <v>1.1833097022483292</v>
      </c>
      <c r="P82" s="38"/>
      <c r="Q82" s="75">
        <f t="shared" si="475"/>
        <v>0</v>
      </c>
      <c r="R82" s="38"/>
      <c r="S82" s="38"/>
      <c r="T82" s="38"/>
      <c r="U82" s="75">
        <f t="shared" si="476"/>
        <v>0</v>
      </c>
      <c r="V82" s="38">
        <f>T82+S82+R82+P82+N82+L82+K82+J82+I82+H82+G82+F82</f>
        <v>3669.91</v>
      </c>
      <c r="W82" s="75">
        <f t="shared" si="456"/>
        <v>1.2389136452636553</v>
      </c>
      <c r="X82" s="38">
        <f t="shared" si="477"/>
        <v>407.76777777777778</v>
      </c>
      <c r="Y82" s="83">
        <f t="shared" si="552"/>
        <v>432.23384444444446</v>
      </c>
      <c r="Z82" s="83">
        <v>448.54455555555558</v>
      </c>
      <c r="AA82" s="83">
        <f t="shared" si="345"/>
        <v>5382.5346666666665</v>
      </c>
      <c r="AB82" s="81">
        <f t="shared" si="503"/>
        <v>97.366666666666674</v>
      </c>
      <c r="AF82" s="83"/>
      <c r="AG82" s="103">
        <f t="shared" si="493"/>
        <v>0</v>
      </c>
      <c r="AH82" s="96">
        <f>550.11+166.8</f>
        <v>716.91000000000008</v>
      </c>
      <c r="AI82" s="103">
        <f t="shared" si="493"/>
        <v>0.13319189645720816</v>
      </c>
      <c r="AJ82" s="83">
        <v>126.78</v>
      </c>
      <c r="AK82" s="103">
        <f t="shared" ref="AK82:AM82" si="561">AJ82/$AA82</f>
        <v>2.355395884120022E-2</v>
      </c>
      <c r="AL82" s="83">
        <v>206.32</v>
      </c>
      <c r="AM82" s="103">
        <f t="shared" si="561"/>
        <v>3.8331383405240803E-2</v>
      </c>
      <c r="AN82" s="83"/>
      <c r="AO82" s="103">
        <f t="shared" ref="AO82:AQ82" si="562">AN82/$AA82</f>
        <v>0</v>
      </c>
      <c r="AP82" s="83">
        <f>26+442.68</f>
        <v>468.68</v>
      </c>
      <c r="AQ82" s="103">
        <f t="shared" si="562"/>
        <v>8.7074218565181563E-2</v>
      </c>
      <c r="AR82" s="83"/>
      <c r="AS82" s="103">
        <f t="shared" ref="AS82" si="563">AR82/$AA82</f>
        <v>0</v>
      </c>
      <c r="AT82" s="83">
        <v>455.3</v>
      </c>
      <c r="AU82" s="103">
        <f t="shared" ref="AU82" si="564">AT82/$AA82</f>
        <v>8.4588400855012305E-2</v>
      </c>
      <c r="AV82" s="83">
        <f>1350+120</f>
        <v>1470</v>
      </c>
      <c r="AW82" s="103">
        <f t="shared" ref="AW82:BC82" si="565">AV82/$AA82</f>
        <v>0.27310553318003095</v>
      </c>
      <c r="AX82" s="83"/>
      <c r="AY82" s="103">
        <f t="shared" si="565"/>
        <v>0</v>
      </c>
      <c r="AZ82" s="83"/>
      <c r="BA82" s="103">
        <f t="shared" si="565"/>
        <v>0</v>
      </c>
      <c r="BB82" s="83"/>
      <c r="BC82" s="103">
        <f t="shared" si="565"/>
        <v>0</v>
      </c>
      <c r="BD82" s="104">
        <f t="shared" si="553"/>
        <v>3443.99</v>
      </c>
      <c r="BE82" s="103">
        <f t="shared" ref="BE82" si="566">BD82/$AA82</f>
        <v>0.63984539130387397</v>
      </c>
    </row>
    <row r="83" spans="1:57" x14ac:dyDescent="0.25">
      <c r="A83" s="62" t="s">
        <v>106</v>
      </c>
      <c r="B83" s="54">
        <v>1600</v>
      </c>
      <c r="C83" s="38">
        <v>196.55555555555554</v>
      </c>
      <c r="D83" s="38">
        <f t="shared" si="560"/>
        <v>2358.6666666666665</v>
      </c>
      <c r="E83" s="35">
        <f t="shared" si="550"/>
        <v>0.47416666666666663</v>
      </c>
      <c r="F83" s="38">
        <v>300</v>
      </c>
      <c r="G83" s="38">
        <v>360</v>
      </c>
      <c r="H83" s="38">
        <f>504</f>
        <v>504</v>
      </c>
      <c r="I83" s="38">
        <v>528</v>
      </c>
      <c r="J83" s="38">
        <v>420</v>
      </c>
      <c r="K83" s="38">
        <v>972</v>
      </c>
      <c r="L83" s="38">
        <v>192</v>
      </c>
      <c r="M83" s="75">
        <f t="shared" si="455"/>
        <v>0.97682306387789719</v>
      </c>
      <c r="N83" s="38">
        <v>156</v>
      </c>
      <c r="O83" s="75">
        <f t="shared" si="484"/>
        <v>0.79366873940079141</v>
      </c>
      <c r="P83" s="38">
        <f>246.36+528</f>
        <v>774.36</v>
      </c>
      <c r="Q83" s="75">
        <f t="shared" si="475"/>
        <v>3.9396495195025443</v>
      </c>
      <c r="R83" s="38"/>
      <c r="S83" s="38"/>
      <c r="T83" s="38"/>
      <c r="U83" s="75">
        <f t="shared" si="476"/>
        <v>0</v>
      </c>
      <c r="V83" s="38">
        <f>T83+S83+R83+P83+N83+L83+K83+J83+I83+H83+G83+F83</f>
        <v>4206.3600000000006</v>
      </c>
      <c r="W83" s="75">
        <f t="shared" si="456"/>
        <v>1.78336348219333</v>
      </c>
      <c r="X83" s="38">
        <f t="shared" si="477"/>
        <v>467.37333333333339</v>
      </c>
      <c r="Y83" s="83">
        <f t="shared" si="552"/>
        <v>495.41573333333338</v>
      </c>
      <c r="Z83" s="83">
        <v>514.1106666666667</v>
      </c>
      <c r="AA83" s="83">
        <f t="shared" si="345"/>
        <v>6169.3280000000004</v>
      </c>
      <c r="AB83" s="81">
        <f t="shared" si="503"/>
        <v>374.12000000000006</v>
      </c>
      <c r="AF83" s="83">
        <f>288.93+48</f>
        <v>336.93</v>
      </c>
      <c r="AG83" s="103">
        <f t="shared" si="493"/>
        <v>5.4613727783641909E-2</v>
      </c>
      <c r="AH83" s="96">
        <v>420</v>
      </c>
      <c r="AI83" s="103">
        <f t="shared" si="493"/>
        <v>6.8078727537261755E-2</v>
      </c>
      <c r="AJ83" s="83">
        <v>372</v>
      </c>
      <c r="AK83" s="103">
        <f t="shared" ref="AK83:AM83" si="567">AJ83/$AA83</f>
        <v>6.0298301533003265E-2</v>
      </c>
      <c r="AL83" s="83">
        <v>264</v>
      </c>
      <c r="AM83" s="103">
        <f t="shared" si="567"/>
        <v>4.2792343023421671E-2</v>
      </c>
      <c r="AN83" s="83">
        <v>84</v>
      </c>
      <c r="AO83" s="103">
        <f t="shared" ref="AO83:AQ83" si="568">AN83/$AA83</f>
        <v>1.3615745507452351E-2</v>
      </c>
      <c r="AP83" s="83">
        <f>15+408</f>
        <v>423</v>
      </c>
      <c r="AQ83" s="103">
        <f t="shared" si="568"/>
        <v>6.8565004162527907E-2</v>
      </c>
      <c r="AR83" s="83">
        <v>120</v>
      </c>
      <c r="AS83" s="103">
        <f t="shared" ref="AS83" si="569">AR83/$AA83</f>
        <v>1.9451065010646217E-2</v>
      </c>
      <c r="AT83" s="83"/>
      <c r="AU83" s="103">
        <f t="shared" ref="AU83" si="570">AT83/$AA83</f>
        <v>0</v>
      </c>
      <c r="AV83" s="83">
        <v>10</v>
      </c>
      <c r="AW83" s="103">
        <f t="shared" ref="AW83:BC83" si="571">AV83/$AA83</f>
        <v>1.6209220842205178E-3</v>
      </c>
      <c r="AX83" s="83"/>
      <c r="AY83" s="103">
        <f t="shared" si="571"/>
        <v>0</v>
      </c>
      <c r="AZ83" s="83"/>
      <c r="BA83" s="103">
        <f t="shared" si="571"/>
        <v>0</v>
      </c>
      <c r="BB83" s="83"/>
      <c r="BC83" s="103">
        <f t="shared" si="571"/>
        <v>0</v>
      </c>
      <c r="BD83" s="104">
        <f t="shared" si="553"/>
        <v>2029.93</v>
      </c>
      <c r="BE83" s="103">
        <f t="shared" ref="BE83" si="572">BD83/$AA83</f>
        <v>0.32903583664217562</v>
      </c>
    </row>
    <row r="84" spans="1:57" x14ac:dyDescent="0.25">
      <c r="A84" s="60" t="s">
        <v>55</v>
      </c>
      <c r="B84" s="54">
        <v>3900</v>
      </c>
      <c r="C84" s="38">
        <v>270.75111111111113</v>
      </c>
      <c r="D84" s="38">
        <f t="shared" si="560"/>
        <v>3249.0133333333333</v>
      </c>
      <c r="E84" s="35">
        <f t="shared" si="550"/>
        <v>-0.16691965811965814</v>
      </c>
      <c r="F84" s="38">
        <v>339.5</v>
      </c>
      <c r="G84" s="38">
        <v>133.9</v>
      </c>
      <c r="H84" s="38">
        <v>175.9</v>
      </c>
      <c r="I84" s="38">
        <v>65</v>
      </c>
      <c r="J84" s="38">
        <v>413.89</v>
      </c>
      <c r="K84" s="38">
        <v>603.79</v>
      </c>
      <c r="L84" s="38">
        <f>140.64</f>
        <v>140.63999999999999</v>
      </c>
      <c r="M84" s="75">
        <f t="shared" si="455"/>
        <v>0.51944385167189211</v>
      </c>
      <c r="N84" s="38">
        <v>411.8</v>
      </c>
      <c r="O84" s="75">
        <f t="shared" si="484"/>
        <v>1.5209540537434953</v>
      </c>
      <c r="P84" s="38"/>
      <c r="Q84" s="75">
        <f t="shared" si="475"/>
        <v>0</v>
      </c>
      <c r="R84" s="38"/>
      <c r="S84" s="38"/>
      <c r="T84" s="38"/>
      <c r="U84" s="75">
        <f t="shared" si="476"/>
        <v>0</v>
      </c>
      <c r="V84" s="38">
        <f t="shared" si="551"/>
        <v>2284.42</v>
      </c>
      <c r="W84" s="75">
        <f t="shared" si="456"/>
        <v>0.7031119191056977</v>
      </c>
      <c r="X84" s="38">
        <f t="shared" si="477"/>
        <v>253.82444444444445</v>
      </c>
      <c r="Y84" s="83">
        <f t="shared" si="552"/>
        <v>269.05391111111112</v>
      </c>
      <c r="Z84" s="83">
        <v>279.2068888888889</v>
      </c>
      <c r="AA84" s="83">
        <f t="shared" si="345"/>
        <v>3350.4826666666668</v>
      </c>
      <c r="AB84" s="81">
        <f t="shared" si="503"/>
        <v>184.14666666666668</v>
      </c>
      <c r="AF84" s="83">
        <v>374.75</v>
      </c>
      <c r="AG84" s="103">
        <f t="shared" si="493"/>
        <v>0.11184955640222184</v>
      </c>
      <c r="AH84" s="96">
        <v>65</v>
      </c>
      <c r="AI84" s="103">
        <f t="shared" si="493"/>
        <v>1.940018990298711E-2</v>
      </c>
      <c r="AJ84" s="83">
        <v>299.39999999999998</v>
      </c>
      <c r="AK84" s="103">
        <f t="shared" ref="AK84:AM84" si="573">AJ84/$AA84</f>
        <v>8.9360259337759082E-2</v>
      </c>
      <c r="AL84" s="83">
        <v>150.5</v>
      </c>
      <c r="AM84" s="103">
        <f t="shared" si="573"/>
        <v>4.491890123691631E-2</v>
      </c>
      <c r="AN84" s="83">
        <v>304.89</v>
      </c>
      <c r="AO84" s="103">
        <f t="shared" ref="AO84:AQ84" si="574">AN84/$AA84</f>
        <v>9.099882922341139E-2</v>
      </c>
      <c r="AP84" s="83">
        <v>1584.3</v>
      </c>
      <c r="AQ84" s="103">
        <f t="shared" si="574"/>
        <v>0.47285724405080737</v>
      </c>
      <c r="AR84" s="83"/>
      <c r="AS84" s="103">
        <f t="shared" ref="AS84" si="575">AR84/$AA84</f>
        <v>0</v>
      </c>
      <c r="AT84" s="83"/>
      <c r="AU84" s="103">
        <f t="shared" ref="AU84" si="576">AT84/$AA84</f>
        <v>0</v>
      </c>
      <c r="AV84" s="83"/>
      <c r="AW84" s="103">
        <f t="shared" ref="AW84:BC84" si="577">AV84/$AA84</f>
        <v>0</v>
      </c>
      <c r="AX84" s="83"/>
      <c r="AY84" s="103">
        <f t="shared" si="577"/>
        <v>0</v>
      </c>
      <c r="AZ84" s="83"/>
      <c r="BA84" s="103">
        <f t="shared" si="577"/>
        <v>0</v>
      </c>
      <c r="BB84" s="83"/>
      <c r="BC84" s="103">
        <f t="shared" si="577"/>
        <v>0</v>
      </c>
      <c r="BD84" s="104">
        <f t="shared" si="553"/>
        <v>2778.84</v>
      </c>
      <c r="BE84" s="103">
        <f t="shared" ref="BE84" si="578">BD84/$AA84</f>
        <v>0.82938498015410322</v>
      </c>
    </row>
    <row r="85" spans="1:57" x14ac:dyDescent="0.25">
      <c r="A85" s="60" t="s">
        <v>56</v>
      </c>
      <c r="B85" s="54">
        <v>10200</v>
      </c>
      <c r="C85" s="38">
        <v>2316.6099999999997</v>
      </c>
      <c r="D85" s="38">
        <f t="shared" si="560"/>
        <v>27799.319999999996</v>
      </c>
      <c r="E85" s="35">
        <f t="shared" si="550"/>
        <v>1.7254235294117644</v>
      </c>
      <c r="F85" s="38">
        <v>671.25</v>
      </c>
      <c r="G85" s="38">
        <f>5158.2-91.2</f>
        <v>5067</v>
      </c>
      <c r="H85" s="38">
        <v>89.9</v>
      </c>
      <c r="I85" s="38">
        <v>50.17</v>
      </c>
      <c r="J85" s="38">
        <v>1232.5</v>
      </c>
      <c r="K85" s="38">
        <v>321.49</v>
      </c>
      <c r="L85" s="38"/>
      <c r="M85" s="75">
        <f t="shared" si="455"/>
        <v>0</v>
      </c>
      <c r="N85" s="38">
        <v>3212.63</v>
      </c>
      <c r="O85" s="75">
        <f t="shared" si="484"/>
        <v>1.3867806838440655</v>
      </c>
      <c r="P85" s="38">
        <f>1499.99-89.73</f>
        <v>1410.26</v>
      </c>
      <c r="Q85" s="75">
        <f t="shared" si="475"/>
        <v>0.6087602142786227</v>
      </c>
      <c r="R85" s="38"/>
      <c r="S85" s="38"/>
      <c r="T85" s="38"/>
      <c r="U85" s="75">
        <f t="shared" si="476"/>
        <v>0</v>
      </c>
      <c r="V85" s="38">
        <f t="shared" si="551"/>
        <v>12055.2</v>
      </c>
      <c r="W85" s="75">
        <f t="shared" si="456"/>
        <v>0.4336508950578648</v>
      </c>
      <c r="X85" s="38">
        <f t="shared" si="477"/>
        <v>1339.4666666666667</v>
      </c>
      <c r="Y85" s="83">
        <f t="shared" si="552"/>
        <v>1419.8346666666666</v>
      </c>
      <c r="Z85" s="83">
        <v>1473.4133333333334</v>
      </c>
      <c r="AA85" s="83">
        <f t="shared" si="345"/>
        <v>17680.96</v>
      </c>
      <c r="AB85" s="81">
        <f t="shared" si="503"/>
        <v>1540.9633333333334</v>
      </c>
      <c r="AF85" s="83">
        <v>257.2</v>
      </c>
      <c r="AG85" s="103">
        <f t="shared" si="493"/>
        <v>1.4546721444989412E-2</v>
      </c>
      <c r="AH85" s="96"/>
      <c r="AI85" s="103">
        <f t="shared" si="493"/>
        <v>0</v>
      </c>
      <c r="AJ85" s="83"/>
      <c r="AK85" s="103">
        <f t="shared" ref="AK85:AM85" si="579">AJ85/$AA85</f>
        <v>0</v>
      </c>
      <c r="AL85" s="83"/>
      <c r="AM85" s="103">
        <f t="shared" si="579"/>
        <v>0</v>
      </c>
      <c r="AN85" s="83">
        <v>596.1</v>
      </c>
      <c r="AO85" s="103">
        <f t="shared" ref="AO85:AQ85" si="580">AN85/$AA85</f>
        <v>3.3714232711345993E-2</v>
      </c>
      <c r="AP85" s="83"/>
      <c r="AQ85" s="103">
        <f t="shared" si="580"/>
        <v>0</v>
      </c>
      <c r="AR85" s="83">
        <v>234</v>
      </c>
      <c r="AS85" s="103">
        <f t="shared" ref="AS85" si="581">AR85/$AA85</f>
        <v>1.3234575498162997E-2</v>
      </c>
      <c r="AT85" s="83">
        <v>2078.9899999999998</v>
      </c>
      <c r="AU85" s="103">
        <f t="shared" ref="AU85" si="582">AT85/$AA85</f>
        <v>0.11758354749968326</v>
      </c>
      <c r="AV85" s="83">
        <v>1207.8900000000001</v>
      </c>
      <c r="AW85" s="103">
        <f t="shared" ref="AW85:BC85" si="583">AV85/$AA85</f>
        <v>6.8315860677248305E-2</v>
      </c>
      <c r="AX85" s="83"/>
      <c r="AY85" s="103">
        <f t="shared" si="583"/>
        <v>0</v>
      </c>
      <c r="AZ85" s="83"/>
      <c r="BA85" s="103">
        <f t="shared" si="583"/>
        <v>0</v>
      </c>
      <c r="BB85" s="83"/>
      <c r="BC85" s="103">
        <f t="shared" si="583"/>
        <v>0</v>
      </c>
      <c r="BD85" s="104">
        <f t="shared" si="553"/>
        <v>4374.18</v>
      </c>
      <c r="BE85" s="103">
        <f t="shared" ref="BE85" si="584">BD85/$AA85</f>
        <v>0.24739493783142999</v>
      </c>
    </row>
    <row r="86" spans="1:57" x14ac:dyDescent="0.25">
      <c r="A86" s="63" t="s">
        <v>57</v>
      </c>
      <c r="B86" s="54">
        <v>17300</v>
      </c>
      <c r="C86" s="38">
        <v>1250</v>
      </c>
      <c r="D86" s="38">
        <f t="shared" si="560"/>
        <v>15000</v>
      </c>
      <c r="E86" s="35">
        <f t="shared" si="550"/>
        <v>-0.13294797687861271</v>
      </c>
      <c r="F86" s="38">
        <f>1250</f>
        <v>1250</v>
      </c>
      <c r="G86" s="38">
        <v>1250</v>
      </c>
      <c r="H86" s="38">
        <v>1250</v>
      </c>
      <c r="I86" s="38">
        <v>1250</v>
      </c>
      <c r="J86" s="38">
        <v>1250</v>
      </c>
      <c r="K86" s="38">
        <v>1250</v>
      </c>
      <c r="L86" s="38">
        <v>1250</v>
      </c>
      <c r="M86" s="75">
        <f t="shared" si="455"/>
        <v>1</v>
      </c>
      <c r="N86" s="38">
        <v>1250</v>
      </c>
      <c r="O86" s="75">
        <f t="shared" si="484"/>
        <v>1</v>
      </c>
      <c r="P86" s="38">
        <v>1250</v>
      </c>
      <c r="Q86" s="75">
        <f t="shared" si="475"/>
        <v>1</v>
      </c>
      <c r="R86" s="38"/>
      <c r="S86" s="38"/>
      <c r="T86" s="38"/>
      <c r="U86" s="75">
        <f t="shared" si="476"/>
        <v>0</v>
      </c>
      <c r="V86" s="38">
        <f t="shared" si="551"/>
        <v>11250</v>
      </c>
      <c r="W86" s="75">
        <f t="shared" si="456"/>
        <v>0.75</v>
      </c>
      <c r="X86" s="38">
        <f t="shared" si="477"/>
        <v>1250</v>
      </c>
      <c r="Y86" s="83">
        <f t="shared" si="552"/>
        <v>1325</v>
      </c>
      <c r="Z86" s="83">
        <v>1375</v>
      </c>
      <c r="AA86" s="83">
        <f t="shared" si="345"/>
        <v>16500</v>
      </c>
      <c r="AB86" s="81">
        <f t="shared" si="503"/>
        <v>1250</v>
      </c>
      <c r="AF86" s="83">
        <v>1250</v>
      </c>
      <c r="AG86" s="103">
        <f t="shared" si="493"/>
        <v>7.575757575757576E-2</v>
      </c>
      <c r="AH86" s="96">
        <v>1250</v>
      </c>
      <c r="AI86" s="103">
        <f t="shared" si="493"/>
        <v>7.575757575757576E-2</v>
      </c>
      <c r="AJ86" s="83">
        <v>1250</v>
      </c>
      <c r="AK86" s="103">
        <f t="shared" ref="AK86:AM86" si="585">AJ86/$AA86</f>
        <v>7.575757575757576E-2</v>
      </c>
      <c r="AL86" s="83">
        <v>1250</v>
      </c>
      <c r="AM86" s="103">
        <f t="shared" si="585"/>
        <v>7.575757575757576E-2</v>
      </c>
      <c r="AN86" s="83"/>
      <c r="AO86" s="103">
        <f t="shared" ref="AO86:AQ86" si="586">AN86/$AA86</f>
        <v>0</v>
      </c>
      <c r="AP86" s="83">
        <f>1250</f>
        <v>1250</v>
      </c>
      <c r="AQ86" s="103">
        <f t="shared" si="586"/>
        <v>7.575757575757576E-2</v>
      </c>
      <c r="AR86" s="83">
        <f>1250</f>
        <v>1250</v>
      </c>
      <c r="AS86" s="103">
        <f t="shared" ref="AS86" si="587">AR86/$AA86</f>
        <v>7.575757575757576E-2</v>
      </c>
      <c r="AT86" s="83">
        <v>1250</v>
      </c>
      <c r="AU86" s="103">
        <f t="shared" ref="AU86" si="588">AT86/$AA86</f>
        <v>7.575757575757576E-2</v>
      </c>
      <c r="AV86" s="83">
        <v>1250</v>
      </c>
      <c r="AW86" s="103">
        <f t="shared" ref="AW86:BC86" si="589">AV86/$AA86</f>
        <v>7.575757575757576E-2</v>
      </c>
      <c r="AX86" s="83"/>
      <c r="AY86" s="103">
        <f t="shared" si="589"/>
        <v>0</v>
      </c>
      <c r="AZ86" s="83"/>
      <c r="BA86" s="103">
        <f t="shared" si="589"/>
        <v>0</v>
      </c>
      <c r="BB86" s="83"/>
      <c r="BC86" s="103">
        <f t="shared" si="589"/>
        <v>0</v>
      </c>
      <c r="BD86" s="104">
        <f t="shared" si="553"/>
        <v>10000</v>
      </c>
      <c r="BE86" s="103">
        <f t="shared" ref="BE86" si="590">BD86/$AA86</f>
        <v>0.60606060606060608</v>
      </c>
    </row>
    <row r="87" spans="1:57" x14ac:dyDescent="0.25">
      <c r="A87" s="98" t="s">
        <v>58</v>
      </c>
      <c r="B87" s="94">
        <v>5000</v>
      </c>
      <c r="C87" s="46">
        <v>300</v>
      </c>
      <c r="D87" s="46">
        <f t="shared" si="560"/>
        <v>3600</v>
      </c>
      <c r="E87" s="95">
        <f t="shared" si="550"/>
        <v>-0.28000000000000003</v>
      </c>
      <c r="F87" s="46"/>
      <c r="G87" s="46"/>
      <c r="H87" s="46"/>
      <c r="I87" s="46"/>
      <c r="J87" s="46"/>
      <c r="K87" s="46"/>
      <c r="L87" s="46"/>
      <c r="M87" s="76">
        <f t="shared" si="455"/>
        <v>0</v>
      </c>
      <c r="N87" s="46"/>
      <c r="O87" s="76">
        <f t="shared" si="484"/>
        <v>0</v>
      </c>
      <c r="P87" s="46"/>
      <c r="Q87" s="76">
        <f t="shared" si="475"/>
        <v>0</v>
      </c>
      <c r="R87" s="46"/>
      <c r="S87" s="46"/>
      <c r="T87" s="46"/>
      <c r="U87" s="76" t="e">
        <f t="shared" si="476"/>
        <v>#DIV/0!</v>
      </c>
      <c r="V87" s="46">
        <f t="shared" si="551"/>
        <v>0</v>
      </c>
      <c r="W87" s="76">
        <f t="shared" si="456"/>
        <v>0</v>
      </c>
      <c r="X87" s="46">
        <f t="shared" si="477"/>
        <v>0</v>
      </c>
      <c r="Y87" s="96">
        <f t="shared" si="552"/>
        <v>0</v>
      </c>
      <c r="Z87" s="96">
        <v>300</v>
      </c>
      <c r="AA87" s="96">
        <f t="shared" si="345"/>
        <v>3600</v>
      </c>
      <c r="AB87" s="81">
        <f t="shared" si="503"/>
        <v>0</v>
      </c>
      <c r="AF87" s="96"/>
      <c r="AG87" s="102">
        <f t="shared" si="493"/>
        <v>0</v>
      </c>
      <c r="AH87" s="96"/>
      <c r="AI87" s="102">
        <f t="shared" si="493"/>
        <v>0</v>
      </c>
      <c r="AJ87" s="96"/>
      <c r="AK87" s="102">
        <f t="shared" ref="AK87:AM87" si="591">AJ87/$AA87</f>
        <v>0</v>
      </c>
      <c r="AL87" s="96"/>
      <c r="AM87" s="102">
        <f t="shared" si="591"/>
        <v>0</v>
      </c>
      <c r="AN87" s="96"/>
      <c r="AO87" s="102">
        <f t="shared" ref="AO87:AQ87" si="592">AN87/$AA87</f>
        <v>0</v>
      </c>
      <c r="AP87" s="96"/>
      <c r="AQ87" s="102">
        <f t="shared" si="592"/>
        <v>0</v>
      </c>
      <c r="AR87" s="96"/>
      <c r="AS87" s="102">
        <f t="shared" ref="AS87" si="593">AR87/$AA87</f>
        <v>0</v>
      </c>
      <c r="AT87" s="96"/>
      <c r="AU87" s="102">
        <f t="shared" ref="AU87" si="594">AT87/$AA87</f>
        <v>0</v>
      </c>
      <c r="AV87" s="96"/>
      <c r="AW87" s="102">
        <f t="shared" ref="AW87:BC87" si="595">AV87/$AA87</f>
        <v>0</v>
      </c>
      <c r="AX87" s="96"/>
      <c r="AY87" s="102">
        <f t="shared" si="595"/>
        <v>0</v>
      </c>
      <c r="AZ87" s="96"/>
      <c r="BA87" s="102">
        <f t="shared" si="595"/>
        <v>0</v>
      </c>
      <c r="BB87" s="96"/>
      <c r="BC87" s="102">
        <f t="shared" si="595"/>
        <v>0</v>
      </c>
      <c r="BD87" s="104">
        <f t="shared" si="553"/>
        <v>0</v>
      </c>
      <c r="BE87" s="102">
        <f t="shared" ref="BE87" si="596">BD87/$AA87</f>
        <v>0</v>
      </c>
    </row>
    <row r="88" spans="1:57" x14ac:dyDescent="0.25">
      <c r="A88" s="57" t="s">
        <v>59</v>
      </c>
      <c r="B88" s="56">
        <v>105587.59040000003</v>
      </c>
      <c r="C88" s="41">
        <v>10833.333333333334</v>
      </c>
      <c r="D88" s="41">
        <f>D89</f>
        <v>130000</v>
      </c>
      <c r="E88" s="35">
        <f t="shared" si="550"/>
        <v>0.23120529133696333</v>
      </c>
      <c r="F88" s="41">
        <f>F89</f>
        <v>33886.559999999998</v>
      </c>
      <c r="G88" s="41">
        <f t="shared" ref="G88:V88" si="597">G89</f>
        <v>4630</v>
      </c>
      <c r="H88" s="41">
        <f t="shared" si="597"/>
        <v>5184.7</v>
      </c>
      <c r="I88" s="41">
        <f t="shared" si="597"/>
        <v>18332.95</v>
      </c>
      <c r="J88" s="41">
        <f t="shared" si="597"/>
        <v>15321.8</v>
      </c>
      <c r="K88" s="41">
        <f t="shared" si="597"/>
        <v>53752.27</v>
      </c>
      <c r="L88" s="41">
        <f t="shared" si="597"/>
        <v>2383.48</v>
      </c>
      <c r="M88" s="77">
        <f t="shared" si="455"/>
        <v>0.22001353846153845</v>
      </c>
      <c r="N88" s="41">
        <f t="shared" si="597"/>
        <v>3779.48</v>
      </c>
      <c r="O88" s="77">
        <f t="shared" si="484"/>
        <v>0.3488750769230769</v>
      </c>
      <c r="P88" s="41">
        <f t="shared" si="597"/>
        <v>10896.34</v>
      </c>
      <c r="Q88" s="77">
        <f t="shared" si="475"/>
        <v>1.005816</v>
      </c>
      <c r="R88" s="41">
        <f t="shared" si="597"/>
        <v>0</v>
      </c>
      <c r="S88" s="41">
        <f t="shared" si="597"/>
        <v>0</v>
      </c>
      <c r="T88" s="41">
        <f t="shared" si="597"/>
        <v>0</v>
      </c>
      <c r="U88" s="77">
        <f t="shared" si="476"/>
        <v>0</v>
      </c>
      <c r="V88" s="41">
        <f t="shared" si="597"/>
        <v>148167.58000000002</v>
      </c>
      <c r="W88" s="77">
        <f t="shared" si="456"/>
        <v>1.1397506153846155</v>
      </c>
      <c r="X88" s="41">
        <f t="shared" si="477"/>
        <v>16463.064444444448</v>
      </c>
      <c r="Y88" s="41">
        <f t="shared" ref="Y88" si="598">Y89</f>
        <v>17450.848311111113</v>
      </c>
      <c r="Z88" s="41">
        <v>18109.37088888889</v>
      </c>
      <c r="AA88" s="41">
        <f>AA89</f>
        <v>190499.99995495917</v>
      </c>
      <c r="AB88" s="81">
        <f t="shared" si="503"/>
        <v>5686.4333333333334</v>
      </c>
      <c r="AF88" s="41">
        <f>AF89</f>
        <v>3621.08</v>
      </c>
      <c r="AG88" s="77">
        <f t="shared" si="493"/>
        <v>1.9008293967748814E-2</v>
      </c>
      <c r="AH88" s="41">
        <f>AH89</f>
        <v>880</v>
      </c>
      <c r="AI88" s="77">
        <f t="shared" si="493"/>
        <v>4.6194225732706703E-3</v>
      </c>
      <c r="AJ88" s="41">
        <f>AJ89</f>
        <v>880</v>
      </c>
      <c r="AK88" s="77">
        <f t="shared" ref="AK88:AM88" si="599">AJ88/$AA88</f>
        <v>4.6194225732706703E-3</v>
      </c>
      <c r="AL88" s="41">
        <f>AL89</f>
        <v>5622.73</v>
      </c>
      <c r="AM88" s="77">
        <f t="shared" si="599"/>
        <v>2.9515643051597946E-2</v>
      </c>
      <c r="AN88" s="41">
        <f>AN89</f>
        <v>31347.86</v>
      </c>
      <c r="AO88" s="77">
        <f t="shared" ref="AO88:AQ88" si="600">AN88/$AA88</f>
        <v>0.16455569557696442</v>
      </c>
      <c r="AP88" s="41">
        <f>AP89</f>
        <v>59788.639999999999</v>
      </c>
      <c r="AQ88" s="77">
        <f t="shared" si="600"/>
        <v>0.3138511286831292</v>
      </c>
      <c r="AR88" s="41">
        <f>AR89</f>
        <v>13800</v>
      </c>
      <c r="AS88" s="77">
        <f t="shared" ref="AS88" si="601">AR88/$AA88</f>
        <v>7.2440944899017326E-2</v>
      </c>
      <c r="AT88" s="41">
        <f>AT89</f>
        <v>4071</v>
      </c>
      <c r="AU88" s="77">
        <f t="shared" ref="AU88" si="602">AT88/$AA88</f>
        <v>2.137007874521011E-2</v>
      </c>
      <c r="AV88" s="41">
        <f>AV89</f>
        <v>950</v>
      </c>
      <c r="AW88" s="77">
        <f t="shared" ref="AW88:BC88" si="603">AV88/$AA88</f>
        <v>4.9868766415990182E-3</v>
      </c>
      <c r="AX88" s="41">
        <f>AX89</f>
        <v>0</v>
      </c>
      <c r="AY88" s="77">
        <f t="shared" si="603"/>
        <v>0</v>
      </c>
      <c r="AZ88" s="41">
        <f>AZ89</f>
        <v>0</v>
      </c>
      <c r="BA88" s="77">
        <f t="shared" si="603"/>
        <v>0</v>
      </c>
      <c r="BB88" s="41">
        <f>BB89</f>
        <v>0</v>
      </c>
      <c r="BC88" s="77">
        <f t="shared" si="603"/>
        <v>0</v>
      </c>
      <c r="BD88" s="41">
        <f t="shared" ref="BD88" si="604">BD89</f>
        <v>120961.31</v>
      </c>
      <c r="BE88" s="77">
        <f t="shared" ref="BE88" si="605">BD88/$AA88</f>
        <v>0.63496750671180813</v>
      </c>
    </row>
    <row r="89" spans="1:57" x14ac:dyDescent="0.25">
      <c r="A89" s="58" t="s">
        <v>60</v>
      </c>
      <c r="B89" s="59">
        <v>105587.59040000003</v>
      </c>
      <c r="C89" s="42">
        <v>10833.333333333334</v>
      </c>
      <c r="D89" s="42">
        <f>SUM(D90:D103)</f>
        <v>130000</v>
      </c>
      <c r="E89" s="35">
        <f t="shared" si="550"/>
        <v>0.23120529133696333</v>
      </c>
      <c r="F89" s="42">
        <f>SUM(F90:F103)</f>
        <v>33886.559999999998</v>
      </c>
      <c r="G89" s="42">
        <f t="shared" ref="G89:V89" si="606">SUM(G90:G103)</f>
        <v>4630</v>
      </c>
      <c r="H89" s="42">
        <f t="shared" si="606"/>
        <v>5184.7</v>
      </c>
      <c r="I89" s="42">
        <f t="shared" si="606"/>
        <v>18332.95</v>
      </c>
      <c r="J89" s="42">
        <f t="shared" si="606"/>
        <v>15321.8</v>
      </c>
      <c r="K89" s="42">
        <f t="shared" si="606"/>
        <v>53752.27</v>
      </c>
      <c r="L89" s="42">
        <f t="shared" si="606"/>
        <v>2383.48</v>
      </c>
      <c r="M89" s="78">
        <f t="shared" si="455"/>
        <v>0.22001353846153845</v>
      </c>
      <c r="N89" s="42">
        <f t="shared" si="606"/>
        <v>3779.48</v>
      </c>
      <c r="O89" s="78">
        <f t="shared" si="484"/>
        <v>0.3488750769230769</v>
      </c>
      <c r="P89" s="42">
        <f t="shared" si="606"/>
        <v>10896.34</v>
      </c>
      <c r="Q89" s="78">
        <f t="shared" si="475"/>
        <v>1.005816</v>
      </c>
      <c r="R89" s="42">
        <f t="shared" si="606"/>
        <v>0</v>
      </c>
      <c r="S89" s="42">
        <f t="shared" si="606"/>
        <v>0</v>
      </c>
      <c r="T89" s="42">
        <f t="shared" si="606"/>
        <v>0</v>
      </c>
      <c r="U89" s="78">
        <f t="shared" si="476"/>
        <v>0</v>
      </c>
      <c r="V89" s="42">
        <f t="shared" si="606"/>
        <v>148167.58000000002</v>
      </c>
      <c r="W89" s="78">
        <f t="shared" si="456"/>
        <v>1.1397506153846155</v>
      </c>
      <c r="X89" s="42">
        <f t="shared" si="477"/>
        <v>16463.064444444448</v>
      </c>
      <c r="Y89" s="42">
        <f t="shared" ref="Y89" si="607">SUM(Y90:Y103)</f>
        <v>17450.848311111113</v>
      </c>
      <c r="Z89" s="42">
        <v>18109.37088888889</v>
      </c>
      <c r="AA89" s="42">
        <f>SUM(AA90:AA103)</f>
        <v>190499.99995495917</v>
      </c>
      <c r="AB89" s="81">
        <f t="shared" si="503"/>
        <v>5686.4333333333334</v>
      </c>
      <c r="AF89" s="42">
        <f>SUM(AF90:AF103)</f>
        <v>3621.08</v>
      </c>
      <c r="AG89" s="78">
        <f t="shared" si="493"/>
        <v>1.9008293967748814E-2</v>
      </c>
      <c r="AH89" s="42">
        <f>SUM(AH90:AH103)</f>
        <v>880</v>
      </c>
      <c r="AI89" s="78">
        <f t="shared" si="493"/>
        <v>4.6194225732706703E-3</v>
      </c>
      <c r="AJ89" s="42">
        <f>SUM(AJ90:AJ103)</f>
        <v>880</v>
      </c>
      <c r="AK89" s="78">
        <f t="shared" ref="AK89:AM89" si="608">AJ89/$AA89</f>
        <v>4.6194225732706703E-3</v>
      </c>
      <c r="AL89" s="42">
        <f>SUM(AL90:AL103)</f>
        <v>5622.73</v>
      </c>
      <c r="AM89" s="78">
        <f t="shared" si="608"/>
        <v>2.9515643051597946E-2</v>
      </c>
      <c r="AN89" s="42">
        <f>SUM(AN90:AN103)</f>
        <v>31347.86</v>
      </c>
      <c r="AO89" s="78">
        <f t="shared" ref="AO89:AQ89" si="609">AN89/$AA89</f>
        <v>0.16455569557696442</v>
      </c>
      <c r="AP89" s="42">
        <f>SUM(AP90:AP103)</f>
        <v>59788.639999999999</v>
      </c>
      <c r="AQ89" s="78">
        <f t="shared" si="609"/>
        <v>0.3138511286831292</v>
      </c>
      <c r="AR89" s="42">
        <f>SUM(AR90:AR103)</f>
        <v>13800</v>
      </c>
      <c r="AS89" s="78">
        <f t="shared" ref="AS89" si="610">AR89/$AA89</f>
        <v>7.2440944899017326E-2</v>
      </c>
      <c r="AT89" s="42">
        <f>SUM(AT90:AT103)</f>
        <v>4071</v>
      </c>
      <c r="AU89" s="78">
        <f t="shared" ref="AU89" si="611">AT89/$AA89</f>
        <v>2.137007874521011E-2</v>
      </c>
      <c r="AV89" s="42">
        <f>SUM(AV90:AV103)</f>
        <v>950</v>
      </c>
      <c r="AW89" s="78">
        <f t="shared" ref="AW89:BC89" si="612">AV89/$AA89</f>
        <v>4.9868766415990182E-3</v>
      </c>
      <c r="AX89" s="42">
        <f>SUM(AX90:AX103)</f>
        <v>0</v>
      </c>
      <c r="AY89" s="78">
        <f t="shared" si="612"/>
        <v>0</v>
      </c>
      <c r="AZ89" s="42">
        <f>SUM(AZ90:AZ103)</f>
        <v>0</v>
      </c>
      <c r="BA89" s="78">
        <f t="shared" si="612"/>
        <v>0</v>
      </c>
      <c r="BB89" s="42">
        <f>SUM(BB90:BB103)</f>
        <v>0</v>
      </c>
      <c r="BC89" s="78">
        <f t="shared" si="612"/>
        <v>0</v>
      </c>
      <c r="BD89" s="42">
        <f t="shared" ref="BD89" si="613">SUM(BD90:BD103)</f>
        <v>120961.31</v>
      </c>
      <c r="BE89" s="78">
        <f t="shared" ref="BE89" si="614">BD89/$AA89</f>
        <v>0.63496750671180813</v>
      </c>
    </row>
    <row r="90" spans="1:57" x14ac:dyDescent="0.25">
      <c r="A90" s="98" t="s">
        <v>61</v>
      </c>
      <c r="B90" s="94">
        <v>41184</v>
      </c>
      <c r="C90" s="46">
        <v>3750</v>
      </c>
      <c r="D90" s="46">
        <v>45000</v>
      </c>
      <c r="E90" s="95">
        <f t="shared" si="550"/>
        <v>9.2657342657342712E-2</v>
      </c>
      <c r="F90" s="46"/>
      <c r="G90" s="46"/>
      <c r="H90" s="46"/>
      <c r="I90" s="46"/>
      <c r="J90" s="46">
        <f>7178.44-98.09</f>
        <v>7080.3499999999995</v>
      </c>
      <c r="K90" s="46">
        <v>52252.27</v>
      </c>
      <c r="L90" s="46">
        <v>2200</v>
      </c>
      <c r="M90" s="76">
        <f t="shared" si="455"/>
        <v>0.58666666666666667</v>
      </c>
      <c r="N90" s="46"/>
      <c r="O90" s="76">
        <f t="shared" si="484"/>
        <v>0</v>
      </c>
      <c r="P90" s="46"/>
      <c r="Q90" s="76">
        <f t="shared" si="475"/>
        <v>0</v>
      </c>
      <c r="R90" s="46"/>
      <c r="S90" s="46"/>
      <c r="T90" s="46"/>
      <c r="U90" s="76" t="e">
        <f t="shared" si="476"/>
        <v>#DIV/0!</v>
      </c>
      <c r="V90" s="46">
        <f t="shared" ref="V90:V103" si="615">T90+S90+R90+P90+N90+L90+K90+J90+I90+H90+G90+F90</f>
        <v>61532.619999999995</v>
      </c>
      <c r="W90" s="76">
        <f t="shared" si="456"/>
        <v>1.3673915555555554</v>
      </c>
      <c r="X90" s="46">
        <f t="shared" si="477"/>
        <v>6836.9577777777777</v>
      </c>
      <c r="Y90" s="96">
        <f t="shared" ref="Y90:Y103" si="616">X90+(X90*$Y$2)</f>
        <v>7247.1752444444446</v>
      </c>
      <c r="Z90" s="96">
        <v>5000</v>
      </c>
      <c r="AA90" s="96">
        <f t="shared" si="345"/>
        <v>60000</v>
      </c>
      <c r="AB90" s="81">
        <f t="shared" si="503"/>
        <v>733.33333333333337</v>
      </c>
      <c r="AF90" s="96"/>
      <c r="AG90" s="102">
        <f t="shared" si="493"/>
        <v>0</v>
      </c>
      <c r="AH90" s="96"/>
      <c r="AI90" s="102">
        <f t="shared" si="493"/>
        <v>0</v>
      </c>
      <c r="AJ90" s="96"/>
      <c r="AK90" s="102">
        <f t="shared" ref="AK90:AM90" si="617">AJ90/$AA90</f>
        <v>0</v>
      </c>
      <c r="AL90" s="96">
        <v>4777.1499999999996</v>
      </c>
      <c r="AM90" s="102">
        <f t="shared" si="617"/>
        <v>7.9619166666666658E-2</v>
      </c>
      <c r="AN90" s="96">
        <v>2557.86</v>
      </c>
      <c r="AO90" s="102">
        <f t="shared" ref="AO90:AQ90" si="618">AN90/$AA90</f>
        <v>4.2631000000000002E-2</v>
      </c>
      <c r="AP90" s="96">
        <f>60284.42-495.78</f>
        <v>59788.639999999999</v>
      </c>
      <c r="AQ90" s="102">
        <f t="shared" si="618"/>
        <v>0.99647733333333333</v>
      </c>
      <c r="AR90" s="96"/>
      <c r="AS90" s="102">
        <f t="shared" ref="AS90" si="619">AR90/$AA90</f>
        <v>0</v>
      </c>
      <c r="AT90" s="96"/>
      <c r="AU90" s="102">
        <f t="shared" ref="AU90" si="620">AT90/$AA90</f>
        <v>0</v>
      </c>
      <c r="AV90" s="96"/>
      <c r="AW90" s="102">
        <f t="shared" ref="AW90:BC90" si="621">AV90/$AA90</f>
        <v>0</v>
      </c>
      <c r="AX90" s="96"/>
      <c r="AY90" s="102">
        <f t="shared" si="621"/>
        <v>0</v>
      </c>
      <c r="AZ90" s="96"/>
      <c r="BA90" s="102">
        <f t="shared" si="621"/>
        <v>0</v>
      </c>
      <c r="BB90" s="96"/>
      <c r="BC90" s="102">
        <f t="shared" si="621"/>
        <v>0</v>
      </c>
      <c r="BD90" s="104">
        <f t="shared" ref="BD90:BD103" si="622">AF90+AH90+AJ90+AL90+AN90+AP90+AR90+AT90+AV90+AX90+AZ90+BB90</f>
        <v>67123.649999999994</v>
      </c>
      <c r="BE90" s="102">
        <f t="shared" ref="BE90" si="623">BD90/$AA90</f>
        <v>1.1187274999999999</v>
      </c>
    </row>
    <row r="91" spans="1:57" x14ac:dyDescent="0.25">
      <c r="A91" s="98" t="s">
        <v>62</v>
      </c>
      <c r="B91" s="94">
        <v>5616</v>
      </c>
      <c r="C91" s="46">
        <v>1250</v>
      </c>
      <c r="D91" s="46">
        <v>15000</v>
      </c>
      <c r="E91" s="95">
        <f t="shared" si="550"/>
        <v>1.6709401709401708</v>
      </c>
      <c r="F91" s="46"/>
      <c r="G91" s="46"/>
      <c r="H91" s="46"/>
      <c r="I91" s="46">
        <v>904</v>
      </c>
      <c r="J91" s="46"/>
      <c r="K91" s="46">
        <v>1050</v>
      </c>
      <c r="L91" s="46"/>
      <c r="M91" s="76">
        <f t="shared" si="455"/>
        <v>0</v>
      </c>
      <c r="N91" s="46">
        <v>550</v>
      </c>
      <c r="O91" s="76">
        <f t="shared" si="484"/>
        <v>0.44</v>
      </c>
      <c r="P91" s="46">
        <v>9819.34</v>
      </c>
      <c r="Q91" s="76">
        <f t="shared" si="475"/>
        <v>7.8554719999999998</v>
      </c>
      <c r="R91" s="46"/>
      <c r="S91" s="46"/>
      <c r="T91" s="46"/>
      <c r="U91" s="76">
        <f t="shared" si="476"/>
        <v>0</v>
      </c>
      <c r="V91" s="46">
        <f t="shared" si="615"/>
        <v>12323.34</v>
      </c>
      <c r="W91" s="76">
        <f t="shared" si="456"/>
        <v>0.82155600000000006</v>
      </c>
      <c r="X91" s="46">
        <f t="shared" si="477"/>
        <v>1369.26</v>
      </c>
      <c r="Y91" s="96">
        <f t="shared" si="616"/>
        <v>1451.4156</v>
      </c>
      <c r="Z91" s="96">
        <v>1250</v>
      </c>
      <c r="AA91" s="96">
        <f t="shared" si="345"/>
        <v>15000</v>
      </c>
      <c r="AB91" s="81">
        <f t="shared" si="503"/>
        <v>3456.4466666666667</v>
      </c>
      <c r="AF91" s="96"/>
      <c r="AG91" s="102">
        <f t="shared" si="493"/>
        <v>0</v>
      </c>
      <c r="AH91" s="96"/>
      <c r="AI91" s="102">
        <f t="shared" si="493"/>
        <v>0</v>
      </c>
      <c r="AJ91" s="96"/>
      <c r="AK91" s="102">
        <f t="shared" ref="AK91:AM91" si="624">AJ91/$AA91</f>
        <v>0</v>
      </c>
      <c r="AL91" s="96"/>
      <c r="AM91" s="102">
        <f t="shared" si="624"/>
        <v>0</v>
      </c>
      <c r="AN91" s="96"/>
      <c r="AO91" s="102">
        <f t="shared" ref="AO91:AQ91" si="625">AN91/$AA91</f>
        <v>0</v>
      </c>
      <c r="AP91" s="96"/>
      <c r="AQ91" s="102">
        <f t="shared" si="625"/>
        <v>0</v>
      </c>
      <c r="AR91" s="96">
        <v>3800</v>
      </c>
      <c r="AS91" s="102">
        <f t="shared" ref="AS91" si="626">AR91/$AA91</f>
        <v>0.25333333333333335</v>
      </c>
      <c r="AT91" s="96">
        <v>2971</v>
      </c>
      <c r="AU91" s="102">
        <f t="shared" ref="AU91" si="627">AT91/$AA91</f>
        <v>0.19806666666666667</v>
      </c>
      <c r="AV91" s="96"/>
      <c r="AW91" s="102">
        <f t="shared" ref="AW91:BC91" si="628">AV91/$AA91</f>
        <v>0</v>
      </c>
      <c r="AX91" s="96"/>
      <c r="AY91" s="102">
        <f t="shared" si="628"/>
        <v>0</v>
      </c>
      <c r="AZ91" s="96"/>
      <c r="BA91" s="102">
        <f t="shared" si="628"/>
        <v>0</v>
      </c>
      <c r="BB91" s="96"/>
      <c r="BC91" s="102">
        <f t="shared" si="628"/>
        <v>0</v>
      </c>
      <c r="BD91" s="104">
        <f t="shared" si="622"/>
        <v>6771</v>
      </c>
      <c r="BE91" s="102">
        <f t="shared" ref="BE91" si="629">BD91/$AA91</f>
        <v>0.45140000000000002</v>
      </c>
    </row>
    <row r="92" spans="1:57" x14ac:dyDescent="0.25">
      <c r="A92" s="60" t="s">
        <v>183</v>
      </c>
      <c r="B92" s="54">
        <v>0</v>
      </c>
      <c r="C92" s="38">
        <v>0</v>
      </c>
      <c r="D92" s="46">
        <v>0</v>
      </c>
      <c r="E92" s="35">
        <f t="shared" si="550"/>
        <v>0</v>
      </c>
      <c r="F92" s="46"/>
      <c r="G92" s="46"/>
      <c r="H92" s="46"/>
      <c r="I92" s="46"/>
      <c r="J92" s="46"/>
      <c r="K92" s="46"/>
      <c r="L92" s="46"/>
      <c r="M92" s="76" t="e">
        <f t="shared" si="455"/>
        <v>#DIV/0!</v>
      </c>
      <c r="N92" s="46"/>
      <c r="O92" s="76" t="e">
        <f t="shared" si="484"/>
        <v>#DIV/0!</v>
      </c>
      <c r="P92" s="46"/>
      <c r="Q92" s="76" t="e">
        <f t="shared" si="475"/>
        <v>#DIV/0!</v>
      </c>
      <c r="R92" s="46"/>
      <c r="S92" s="46"/>
      <c r="T92" s="46"/>
      <c r="U92" s="76" t="e">
        <f t="shared" si="476"/>
        <v>#DIV/0!</v>
      </c>
      <c r="V92" s="46">
        <f t="shared" si="615"/>
        <v>0</v>
      </c>
      <c r="W92" s="76" t="e">
        <f t="shared" si="456"/>
        <v>#DIV/0!</v>
      </c>
      <c r="X92" s="46">
        <f t="shared" si="477"/>
        <v>0</v>
      </c>
      <c r="Y92" s="83">
        <f t="shared" si="616"/>
        <v>0</v>
      </c>
      <c r="Z92" s="83">
        <v>416.66666659999999</v>
      </c>
      <c r="AA92" s="83">
        <f t="shared" si="345"/>
        <v>4999.9999991999994</v>
      </c>
      <c r="AB92" s="81">
        <f t="shared" si="503"/>
        <v>0</v>
      </c>
      <c r="AF92" s="83"/>
      <c r="AG92" s="103">
        <f t="shared" si="493"/>
        <v>0</v>
      </c>
      <c r="AH92" s="83"/>
      <c r="AI92" s="103">
        <f t="shared" si="493"/>
        <v>0</v>
      </c>
      <c r="AJ92" s="83"/>
      <c r="AK92" s="103">
        <f t="shared" ref="AK92:AM92" si="630">AJ92/$AA92</f>
        <v>0</v>
      </c>
      <c r="AL92" s="83"/>
      <c r="AM92" s="103">
        <f t="shared" si="630"/>
        <v>0</v>
      </c>
      <c r="AN92" s="83"/>
      <c r="AO92" s="103">
        <f t="shared" ref="AO92:AQ92" si="631">AN92/$AA92</f>
        <v>0</v>
      </c>
      <c r="AP92" s="83"/>
      <c r="AQ92" s="103">
        <f t="shared" si="631"/>
        <v>0</v>
      </c>
      <c r="AR92" s="83"/>
      <c r="AS92" s="103">
        <f t="shared" ref="AS92" si="632">AR92/$AA92</f>
        <v>0</v>
      </c>
      <c r="AT92" s="83"/>
      <c r="AU92" s="103">
        <f t="shared" ref="AU92" si="633">AT92/$AA92</f>
        <v>0</v>
      </c>
      <c r="AV92" s="83"/>
      <c r="AW92" s="103">
        <f t="shared" ref="AW92:BC92" si="634">AV92/$AA92</f>
        <v>0</v>
      </c>
      <c r="AX92" s="83"/>
      <c r="AY92" s="103">
        <f t="shared" si="634"/>
        <v>0</v>
      </c>
      <c r="AZ92" s="83"/>
      <c r="BA92" s="103">
        <f t="shared" si="634"/>
        <v>0</v>
      </c>
      <c r="BB92" s="83"/>
      <c r="BC92" s="103">
        <f t="shared" si="634"/>
        <v>0</v>
      </c>
      <c r="BD92" s="104">
        <f t="shared" si="622"/>
        <v>0</v>
      </c>
      <c r="BE92" s="103">
        <f t="shared" ref="BE92" si="635">BD92/$AA92</f>
        <v>0</v>
      </c>
    </row>
    <row r="93" spans="1:57" x14ac:dyDescent="0.25">
      <c r="A93" s="60" t="s">
        <v>63</v>
      </c>
      <c r="B93" s="54">
        <v>2121.6000000000004</v>
      </c>
      <c r="C93" s="38">
        <v>125</v>
      </c>
      <c r="D93" s="46">
        <v>1500</v>
      </c>
      <c r="E93" s="35">
        <f t="shared" si="550"/>
        <v>-0.29298642533936659</v>
      </c>
      <c r="F93" s="46"/>
      <c r="G93" s="46"/>
      <c r="H93" s="46"/>
      <c r="I93" s="46"/>
      <c r="J93" s="46"/>
      <c r="K93" s="46"/>
      <c r="L93" s="46"/>
      <c r="M93" s="76">
        <f t="shared" si="455"/>
        <v>0</v>
      </c>
      <c r="N93" s="46"/>
      <c r="O93" s="76">
        <f t="shared" si="484"/>
        <v>0</v>
      </c>
      <c r="P93" s="46"/>
      <c r="Q93" s="76">
        <f t="shared" si="475"/>
        <v>0</v>
      </c>
      <c r="R93" s="46"/>
      <c r="S93" s="46"/>
      <c r="T93" s="46"/>
      <c r="U93" s="76" t="e">
        <f t="shared" si="476"/>
        <v>#DIV/0!</v>
      </c>
      <c r="V93" s="46">
        <f t="shared" si="615"/>
        <v>0</v>
      </c>
      <c r="W93" s="76">
        <f t="shared" si="456"/>
        <v>0</v>
      </c>
      <c r="X93" s="46">
        <f t="shared" si="477"/>
        <v>0</v>
      </c>
      <c r="Y93" s="83">
        <f t="shared" si="616"/>
        <v>0</v>
      </c>
      <c r="Z93" s="83">
        <v>125</v>
      </c>
      <c r="AA93" s="83">
        <f t="shared" si="345"/>
        <v>1500</v>
      </c>
      <c r="AB93" s="81">
        <f t="shared" si="503"/>
        <v>0</v>
      </c>
      <c r="AF93" s="83"/>
      <c r="AG93" s="103">
        <f t="shared" si="493"/>
        <v>0</v>
      </c>
      <c r="AH93" s="83"/>
      <c r="AI93" s="103">
        <f t="shared" si="493"/>
        <v>0</v>
      </c>
      <c r="AJ93" s="83"/>
      <c r="AK93" s="103">
        <f t="shared" ref="AK93:AM93" si="636">AJ93/$AA93</f>
        <v>0</v>
      </c>
      <c r="AL93" s="83"/>
      <c r="AM93" s="103">
        <f t="shared" si="636"/>
        <v>0</v>
      </c>
      <c r="AN93" s="83"/>
      <c r="AO93" s="103">
        <f t="shared" ref="AO93:AQ93" si="637">AN93/$AA93</f>
        <v>0</v>
      </c>
      <c r="AP93" s="83"/>
      <c r="AQ93" s="103">
        <f t="shared" si="637"/>
        <v>0</v>
      </c>
      <c r="AR93" s="83"/>
      <c r="AS93" s="103">
        <f t="shared" ref="AS93" si="638">AR93/$AA93</f>
        <v>0</v>
      </c>
      <c r="AT93" s="83"/>
      <c r="AU93" s="103">
        <f t="shared" ref="AU93" si="639">AT93/$AA93</f>
        <v>0</v>
      </c>
      <c r="AV93" s="83"/>
      <c r="AW93" s="103">
        <f t="shared" ref="AW93:BC93" si="640">AV93/$AA93</f>
        <v>0</v>
      </c>
      <c r="AX93" s="83"/>
      <c r="AY93" s="103">
        <f t="shared" si="640"/>
        <v>0</v>
      </c>
      <c r="AZ93" s="83"/>
      <c r="BA93" s="103">
        <f t="shared" si="640"/>
        <v>0</v>
      </c>
      <c r="BB93" s="83"/>
      <c r="BC93" s="103">
        <f t="shared" si="640"/>
        <v>0</v>
      </c>
      <c r="BD93" s="104">
        <f t="shared" si="622"/>
        <v>0</v>
      </c>
      <c r="BE93" s="103">
        <f t="shared" ref="BE93" si="641">BD93/$AA93</f>
        <v>0</v>
      </c>
    </row>
    <row r="94" spans="1:57" x14ac:dyDescent="0.25">
      <c r="A94" s="98" t="s">
        <v>64</v>
      </c>
      <c r="B94" s="94">
        <v>7488</v>
      </c>
      <c r="C94" s="46">
        <v>1375</v>
      </c>
      <c r="D94" s="46">
        <v>16500</v>
      </c>
      <c r="E94" s="95">
        <f t="shared" si="550"/>
        <v>1.203525641025641</v>
      </c>
      <c r="F94" s="46"/>
      <c r="G94" s="46"/>
      <c r="H94" s="46"/>
      <c r="I94" s="46"/>
      <c r="J94" s="46"/>
      <c r="K94" s="46"/>
      <c r="L94" s="46"/>
      <c r="M94" s="76">
        <f t="shared" si="455"/>
        <v>0</v>
      </c>
      <c r="N94" s="46"/>
      <c r="O94" s="76">
        <f t="shared" si="484"/>
        <v>0</v>
      </c>
      <c r="P94" s="46">
        <v>37</v>
      </c>
      <c r="Q94" s="76">
        <f t="shared" si="475"/>
        <v>2.690909090909091E-2</v>
      </c>
      <c r="R94" s="46"/>
      <c r="S94" s="46"/>
      <c r="T94" s="46"/>
      <c r="U94" s="76" t="e">
        <f t="shared" si="476"/>
        <v>#DIV/0!</v>
      </c>
      <c r="V94" s="46">
        <f t="shared" si="615"/>
        <v>37</v>
      </c>
      <c r="W94" s="76">
        <f t="shared" si="456"/>
        <v>2.2424242424242424E-3</v>
      </c>
      <c r="X94" s="46">
        <f t="shared" si="477"/>
        <v>4.1111111111111107</v>
      </c>
      <c r="Y94" s="96">
        <f t="shared" si="616"/>
        <v>4.3577777777777778</v>
      </c>
      <c r="Z94" s="96">
        <v>1375</v>
      </c>
      <c r="AA94" s="96">
        <f t="shared" si="345"/>
        <v>16500</v>
      </c>
      <c r="AB94" s="81">
        <f t="shared" si="503"/>
        <v>12.333333333333334</v>
      </c>
      <c r="AF94" s="96"/>
      <c r="AG94" s="102">
        <f t="shared" si="493"/>
        <v>0</v>
      </c>
      <c r="AH94" s="96"/>
      <c r="AI94" s="102">
        <f t="shared" si="493"/>
        <v>0</v>
      </c>
      <c r="AJ94" s="96">
        <v>150</v>
      </c>
      <c r="AK94" s="102">
        <f t="shared" ref="AK94:AM94" si="642">AJ94/$AA94</f>
        <v>9.0909090909090905E-3</v>
      </c>
      <c r="AL94" s="96"/>
      <c r="AM94" s="102">
        <f t="shared" si="642"/>
        <v>0</v>
      </c>
      <c r="AN94" s="96">
        <v>1160</v>
      </c>
      <c r="AO94" s="102">
        <f t="shared" ref="AO94:AQ94" si="643">AN94/$AA94</f>
        <v>7.0303030303030298E-2</v>
      </c>
      <c r="AP94" s="96"/>
      <c r="AQ94" s="102">
        <f t="shared" si="643"/>
        <v>0</v>
      </c>
      <c r="AR94" s="96"/>
      <c r="AS94" s="102">
        <f t="shared" ref="AS94" si="644">AR94/$AA94</f>
        <v>0</v>
      </c>
      <c r="AT94" s="96"/>
      <c r="AU94" s="102">
        <f t="shared" ref="AU94" si="645">AT94/$AA94</f>
        <v>0</v>
      </c>
      <c r="AV94" s="96"/>
      <c r="AW94" s="102">
        <f t="shared" ref="AW94:BC94" si="646">AV94/$AA94</f>
        <v>0</v>
      </c>
      <c r="AX94" s="96"/>
      <c r="AY94" s="102">
        <f t="shared" si="646"/>
        <v>0</v>
      </c>
      <c r="AZ94" s="96"/>
      <c r="BA94" s="102">
        <f t="shared" si="646"/>
        <v>0</v>
      </c>
      <c r="BB94" s="96"/>
      <c r="BC94" s="102">
        <f t="shared" si="646"/>
        <v>0</v>
      </c>
      <c r="BD94" s="104">
        <f t="shared" si="622"/>
        <v>1310</v>
      </c>
      <c r="BE94" s="102">
        <f t="shared" ref="BE94" si="647">BD94/$AA94</f>
        <v>7.9393939393939392E-2</v>
      </c>
    </row>
    <row r="95" spans="1:57" x14ac:dyDescent="0.25">
      <c r="A95" s="98" t="s">
        <v>65</v>
      </c>
      <c r="B95" s="94">
        <v>20000</v>
      </c>
      <c r="C95" s="46">
        <v>1666.6666666666667</v>
      </c>
      <c r="D95" s="46">
        <v>20000</v>
      </c>
      <c r="E95" s="95">
        <f t="shared" si="550"/>
        <v>0</v>
      </c>
      <c r="F95" s="46"/>
      <c r="G95" s="46"/>
      <c r="H95" s="46"/>
      <c r="I95" s="46"/>
      <c r="J95" s="46"/>
      <c r="K95" s="46"/>
      <c r="L95" s="46"/>
      <c r="M95" s="76">
        <f t="shared" si="455"/>
        <v>0</v>
      </c>
      <c r="N95" s="46"/>
      <c r="O95" s="76">
        <f t="shared" si="484"/>
        <v>0</v>
      </c>
      <c r="P95" s="46"/>
      <c r="Q95" s="76">
        <f t="shared" si="475"/>
        <v>0</v>
      </c>
      <c r="R95" s="46"/>
      <c r="S95" s="46"/>
      <c r="T95" s="46"/>
      <c r="U95" s="76" t="e">
        <f t="shared" si="476"/>
        <v>#DIV/0!</v>
      </c>
      <c r="V95" s="46">
        <f t="shared" si="615"/>
        <v>0</v>
      </c>
      <c r="W95" s="76">
        <f t="shared" si="456"/>
        <v>0</v>
      </c>
      <c r="X95" s="46">
        <f t="shared" si="477"/>
        <v>0</v>
      </c>
      <c r="Y95" s="96">
        <f t="shared" si="616"/>
        <v>0</v>
      </c>
      <c r="Z95" s="96">
        <v>2750</v>
      </c>
      <c r="AA95" s="96">
        <f t="shared" si="345"/>
        <v>33000</v>
      </c>
      <c r="AB95" s="81">
        <f t="shared" si="503"/>
        <v>0</v>
      </c>
      <c r="AF95" s="96"/>
      <c r="AG95" s="102">
        <f t="shared" si="493"/>
        <v>0</v>
      </c>
      <c r="AH95" s="96"/>
      <c r="AI95" s="102">
        <f t="shared" si="493"/>
        <v>0</v>
      </c>
      <c r="AJ95" s="96"/>
      <c r="AK95" s="102">
        <f t="shared" ref="AK95:AM95" si="648">AJ95/$AA95</f>
        <v>0</v>
      </c>
      <c r="AL95" s="96"/>
      <c r="AM95" s="102">
        <f t="shared" si="648"/>
        <v>0</v>
      </c>
      <c r="AN95" s="96"/>
      <c r="AO95" s="102">
        <f t="shared" ref="AO95:AQ95" si="649">AN95/$AA95</f>
        <v>0</v>
      </c>
      <c r="AP95" s="96"/>
      <c r="AQ95" s="102">
        <f t="shared" si="649"/>
        <v>0</v>
      </c>
      <c r="AR95" s="96"/>
      <c r="AS95" s="102">
        <f t="shared" ref="AS95" si="650">AR95/$AA95</f>
        <v>0</v>
      </c>
      <c r="AT95" s="96"/>
      <c r="AU95" s="102">
        <f t="shared" ref="AU95" si="651">AT95/$AA95</f>
        <v>0</v>
      </c>
      <c r="AV95" s="96"/>
      <c r="AW95" s="102">
        <f t="shared" ref="AW95:BC95" si="652">AV95/$AA95</f>
        <v>0</v>
      </c>
      <c r="AX95" s="96"/>
      <c r="AY95" s="102">
        <f t="shared" si="652"/>
        <v>0</v>
      </c>
      <c r="AZ95" s="96"/>
      <c r="BA95" s="102">
        <f t="shared" si="652"/>
        <v>0</v>
      </c>
      <c r="BB95" s="96"/>
      <c r="BC95" s="102">
        <f t="shared" si="652"/>
        <v>0</v>
      </c>
      <c r="BD95" s="104">
        <f t="shared" si="622"/>
        <v>0</v>
      </c>
      <c r="BE95" s="102">
        <f t="shared" ref="BE95" si="653">BD95/$AA95</f>
        <v>0</v>
      </c>
    </row>
    <row r="96" spans="1:57" x14ac:dyDescent="0.25">
      <c r="A96" s="98" t="s">
        <v>108</v>
      </c>
      <c r="B96" s="94">
        <v>2079.9168</v>
      </c>
      <c r="C96" s="46">
        <v>208.33333333333334</v>
      </c>
      <c r="D96" s="46">
        <v>2500</v>
      </c>
      <c r="E96" s="95">
        <f t="shared" si="550"/>
        <v>0.2019711557693078</v>
      </c>
      <c r="F96" s="46"/>
      <c r="G96" s="46"/>
      <c r="H96" s="46">
        <v>928</v>
      </c>
      <c r="I96" s="46">
        <f>3418.9-584</f>
        <v>2834.9</v>
      </c>
      <c r="J96" s="46">
        <v>849.2</v>
      </c>
      <c r="K96" s="46"/>
      <c r="L96" s="46"/>
      <c r="M96" s="76">
        <f t="shared" si="455"/>
        <v>0</v>
      </c>
      <c r="N96" s="46"/>
      <c r="O96" s="76">
        <f t="shared" si="484"/>
        <v>0</v>
      </c>
      <c r="P96" s="46"/>
      <c r="Q96" s="76">
        <f t="shared" si="475"/>
        <v>0</v>
      </c>
      <c r="R96" s="46"/>
      <c r="S96" s="46"/>
      <c r="T96" s="46"/>
      <c r="U96" s="76">
        <f t="shared" si="476"/>
        <v>0</v>
      </c>
      <c r="V96" s="46">
        <f t="shared" si="615"/>
        <v>4612.1000000000004</v>
      </c>
      <c r="W96" s="76">
        <f t="shared" si="456"/>
        <v>1.84484</v>
      </c>
      <c r="X96" s="46">
        <f t="shared" si="477"/>
        <v>512.45555555555563</v>
      </c>
      <c r="Y96" s="96">
        <f t="shared" si="616"/>
        <v>543.20288888888899</v>
      </c>
      <c r="Z96" s="96">
        <v>416.66666666660001</v>
      </c>
      <c r="AA96" s="96">
        <f t="shared" si="345"/>
        <v>4999.9999999991996</v>
      </c>
      <c r="AB96" s="81">
        <f t="shared" si="503"/>
        <v>0</v>
      </c>
      <c r="AF96" s="96"/>
      <c r="AG96" s="102">
        <f t="shared" si="493"/>
        <v>0</v>
      </c>
      <c r="AH96" s="96"/>
      <c r="AI96" s="102">
        <f t="shared" si="493"/>
        <v>0</v>
      </c>
      <c r="AJ96" s="96">
        <v>730</v>
      </c>
      <c r="AK96" s="102">
        <f t="shared" ref="AK96:AM96" si="654">AJ96/$AA96</f>
        <v>0.14600000000002336</v>
      </c>
      <c r="AL96" s="96">
        <v>268.7</v>
      </c>
      <c r="AM96" s="102">
        <f t="shared" si="654"/>
        <v>5.37400000000086E-2</v>
      </c>
      <c r="AN96" s="96"/>
      <c r="AO96" s="102">
        <f t="shared" ref="AO96:AQ96" si="655">AN96/$AA96</f>
        <v>0</v>
      </c>
      <c r="AP96" s="96"/>
      <c r="AQ96" s="102">
        <f t="shared" si="655"/>
        <v>0</v>
      </c>
      <c r="AR96" s="96"/>
      <c r="AS96" s="102">
        <f t="shared" ref="AS96" si="656">AR96/$AA96</f>
        <v>0</v>
      </c>
      <c r="AT96" s="96"/>
      <c r="AU96" s="102">
        <f t="shared" ref="AU96" si="657">AT96/$AA96</f>
        <v>0</v>
      </c>
      <c r="AV96" s="96"/>
      <c r="AW96" s="102">
        <f t="shared" ref="AW96:BC96" si="658">AV96/$AA96</f>
        <v>0</v>
      </c>
      <c r="AX96" s="96"/>
      <c r="AY96" s="102">
        <f t="shared" si="658"/>
        <v>0</v>
      </c>
      <c r="AZ96" s="96"/>
      <c r="BA96" s="102">
        <f t="shared" si="658"/>
        <v>0</v>
      </c>
      <c r="BB96" s="96"/>
      <c r="BC96" s="102">
        <f t="shared" si="658"/>
        <v>0</v>
      </c>
      <c r="BD96" s="104">
        <f t="shared" si="622"/>
        <v>998.7</v>
      </c>
      <c r="BE96" s="102">
        <f t="shared" ref="BE96" si="659">BD96/$AA96</f>
        <v>0.19974000000003198</v>
      </c>
    </row>
    <row r="97" spans="1:57" x14ac:dyDescent="0.25">
      <c r="A97" s="98" t="s">
        <v>109</v>
      </c>
      <c r="B97" s="94">
        <v>2079.9168</v>
      </c>
      <c r="C97" s="46">
        <v>416.66666666666669</v>
      </c>
      <c r="D97" s="46">
        <v>5000</v>
      </c>
      <c r="E97" s="95">
        <f t="shared" si="550"/>
        <v>1.4039423115386156</v>
      </c>
      <c r="F97" s="46"/>
      <c r="G97" s="46"/>
      <c r="H97" s="46"/>
      <c r="I97" s="46"/>
      <c r="J97" s="46"/>
      <c r="K97" s="46"/>
      <c r="L97" s="46"/>
      <c r="M97" s="76">
        <f t="shared" si="455"/>
        <v>0</v>
      </c>
      <c r="N97" s="46"/>
      <c r="O97" s="76">
        <f t="shared" si="484"/>
        <v>0</v>
      </c>
      <c r="P97" s="46">
        <v>1040</v>
      </c>
      <c r="Q97" s="76">
        <f t="shared" si="475"/>
        <v>2.496</v>
      </c>
      <c r="R97" s="46"/>
      <c r="S97" s="46"/>
      <c r="T97" s="46"/>
      <c r="U97" s="76" t="e">
        <f t="shared" si="476"/>
        <v>#DIV/0!</v>
      </c>
      <c r="V97" s="46">
        <f t="shared" si="615"/>
        <v>1040</v>
      </c>
      <c r="W97" s="76">
        <f t="shared" si="456"/>
        <v>0.20799999999999999</v>
      </c>
      <c r="X97" s="46">
        <f t="shared" si="477"/>
        <v>115.55555555555556</v>
      </c>
      <c r="Y97" s="96">
        <f t="shared" si="616"/>
        <v>122.48888888888889</v>
      </c>
      <c r="Z97" s="96">
        <v>250</v>
      </c>
      <c r="AA97" s="96">
        <f t="shared" si="345"/>
        <v>3000</v>
      </c>
      <c r="AB97" s="81">
        <f t="shared" si="503"/>
        <v>346.66666666666669</v>
      </c>
      <c r="AF97" s="96"/>
      <c r="AG97" s="102">
        <f t="shared" si="493"/>
        <v>0</v>
      </c>
      <c r="AH97" s="96"/>
      <c r="AI97" s="102">
        <f t="shared" si="493"/>
        <v>0</v>
      </c>
      <c r="AJ97" s="96"/>
      <c r="AK97" s="102">
        <f t="shared" ref="AK97:AM97" si="660">AJ97/$AA97</f>
        <v>0</v>
      </c>
      <c r="AL97" s="96"/>
      <c r="AM97" s="102">
        <f t="shared" si="660"/>
        <v>0</v>
      </c>
      <c r="AN97" s="96"/>
      <c r="AO97" s="102">
        <f t="shared" ref="AO97:AQ97" si="661">AN97/$AA97</f>
        <v>0</v>
      </c>
      <c r="AP97" s="96"/>
      <c r="AQ97" s="102">
        <f t="shared" si="661"/>
        <v>0</v>
      </c>
      <c r="AR97" s="96"/>
      <c r="AS97" s="102">
        <f t="shared" ref="AS97" si="662">AR97/$AA97</f>
        <v>0</v>
      </c>
      <c r="AT97" s="96"/>
      <c r="AU97" s="102">
        <f t="shared" ref="AU97" si="663">AT97/$AA97</f>
        <v>0</v>
      </c>
      <c r="AV97" s="96">
        <v>950</v>
      </c>
      <c r="AW97" s="102">
        <f t="shared" ref="AW97:BC97" si="664">AV97/$AA97</f>
        <v>0.31666666666666665</v>
      </c>
      <c r="AX97" s="96"/>
      <c r="AY97" s="102">
        <f t="shared" si="664"/>
        <v>0</v>
      </c>
      <c r="AZ97" s="96"/>
      <c r="BA97" s="102">
        <f t="shared" si="664"/>
        <v>0</v>
      </c>
      <c r="BB97" s="96"/>
      <c r="BC97" s="102">
        <f t="shared" si="664"/>
        <v>0</v>
      </c>
      <c r="BD97" s="104">
        <f t="shared" si="622"/>
        <v>950</v>
      </c>
      <c r="BE97" s="102">
        <f t="shared" ref="BE97" si="665">BD97/$AA97</f>
        <v>0.31666666666666665</v>
      </c>
    </row>
    <row r="98" spans="1:57" x14ac:dyDescent="0.25">
      <c r="A98" s="60" t="s">
        <v>110</v>
      </c>
      <c r="B98" s="54">
        <v>2079.9168</v>
      </c>
      <c r="C98" s="38">
        <v>125</v>
      </c>
      <c r="D98" s="46">
        <v>1500</v>
      </c>
      <c r="E98" s="35">
        <f t="shared" si="550"/>
        <v>-0.27881730653841541</v>
      </c>
      <c r="F98" s="46"/>
      <c r="G98" s="46">
        <v>750</v>
      </c>
      <c r="H98" s="46"/>
      <c r="I98" s="46"/>
      <c r="J98" s="46"/>
      <c r="K98" s="46"/>
      <c r="L98" s="46"/>
      <c r="M98" s="76">
        <f t="shared" si="455"/>
        <v>0</v>
      </c>
      <c r="N98" s="46"/>
      <c r="O98" s="76">
        <f t="shared" si="484"/>
        <v>0</v>
      </c>
      <c r="P98" s="46"/>
      <c r="Q98" s="76">
        <f t="shared" si="475"/>
        <v>0</v>
      </c>
      <c r="R98" s="46"/>
      <c r="S98" s="46"/>
      <c r="T98" s="46"/>
      <c r="U98" s="76" t="e">
        <f t="shared" si="476"/>
        <v>#DIV/0!</v>
      </c>
      <c r="V98" s="46">
        <f t="shared" si="615"/>
        <v>750</v>
      </c>
      <c r="W98" s="76">
        <f t="shared" si="456"/>
        <v>0.5</v>
      </c>
      <c r="X98" s="46">
        <f t="shared" si="477"/>
        <v>83.333333333333329</v>
      </c>
      <c r="Y98" s="83">
        <f t="shared" si="616"/>
        <v>88.333333333333329</v>
      </c>
      <c r="Z98" s="83">
        <v>125</v>
      </c>
      <c r="AA98" s="83">
        <f t="shared" si="345"/>
        <v>1500</v>
      </c>
      <c r="AB98" s="81">
        <f t="shared" si="503"/>
        <v>0</v>
      </c>
      <c r="AF98" s="83"/>
      <c r="AG98" s="103">
        <f t="shared" si="493"/>
        <v>0</v>
      </c>
      <c r="AH98" s="96">
        <v>880</v>
      </c>
      <c r="AI98" s="103">
        <f t="shared" si="493"/>
        <v>0.58666666666666667</v>
      </c>
      <c r="AJ98" s="83"/>
      <c r="AK98" s="103">
        <f t="shared" ref="AK98:AM98" si="666">AJ98/$AA98</f>
        <v>0</v>
      </c>
      <c r="AL98" s="83"/>
      <c r="AM98" s="103">
        <f t="shared" si="666"/>
        <v>0</v>
      </c>
      <c r="AN98" s="83"/>
      <c r="AO98" s="103">
        <f t="shared" ref="AO98:AQ98" si="667">AN98/$AA98</f>
        <v>0</v>
      </c>
      <c r="AP98" s="83"/>
      <c r="AQ98" s="103">
        <f t="shared" si="667"/>
        <v>0</v>
      </c>
      <c r="AR98" s="83"/>
      <c r="AS98" s="103">
        <f t="shared" ref="AS98" si="668">AR98/$AA98</f>
        <v>0</v>
      </c>
      <c r="AT98" s="83"/>
      <c r="AU98" s="103">
        <f t="shared" ref="AU98" si="669">AT98/$AA98</f>
        <v>0</v>
      </c>
      <c r="AV98" s="83"/>
      <c r="AW98" s="103">
        <f t="shared" ref="AW98:BC98" si="670">AV98/$AA98</f>
        <v>0</v>
      </c>
      <c r="AX98" s="83"/>
      <c r="AY98" s="103">
        <f t="shared" si="670"/>
        <v>0</v>
      </c>
      <c r="AZ98" s="83"/>
      <c r="BA98" s="103">
        <f t="shared" si="670"/>
        <v>0</v>
      </c>
      <c r="BB98" s="83"/>
      <c r="BC98" s="103">
        <f t="shared" si="670"/>
        <v>0</v>
      </c>
      <c r="BD98" s="104">
        <f t="shared" si="622"/>
        <v>880</v>
      </c>
      <c r="BE98" s="103">
        <f t="shared" ref="BE98" si="671">BD98/$AA98</f>
        <v>0.58666666666666667</v>
      </c>
    </row>
    <row r="99" spans="1:57" x14ac:dyDescent="0.25">
      <c r="A99" s="60" t="s">
        <v>111</v>
      </c>
      <c r="B99" s="54">
        <v>3107.5200000000004</v>
      </c>
      <c r="C99" s="38">
        <v>333.33333333333331</v>
      </c>
      <c r="D99" s="46">
        <v>4000</v>
      </c>
      <c r="E99" s="35">
        <f t="shared" si="550"/>
        <v>0.28720008238080519</v>
      </c>
      <c r="F99" s="46"/>
      <c r="G99" s="46"/>
      <c r="H99" s="46"/>
      <c r="I99" s="46"/>
      <c r="J99" s="46">
        <v>3474.77</v>
      </c>
      <c r="K99" s="46"/>
      <c r="L99" s="46"/>
      <c r="M99" s="76">
        <f t="shared" si="455"/>
        <v>0</v>
      </c>
      <c r="N99" s="46"/>
      <c r="O99" s="76">
        <f t="shared" si="484"/>
        <v>0</v>
      </c>
      <c r="P99" s="46"/>
      <c r="Q99" s="76">
        <f t="shared" si="475"/>
        <v>0</v>
      </c>
      <c r="R99" s="46"/>
      <c r="S99" s="46"/>
      <c r="T99" s="46"/>
      <c r="U99" s="76" t="e">
        <f t="shared" si="476"/>
        <v>#DIV/0!</v>
      </c>
      <c r="V99" s="46">
        <f t="shared" si="615"/>
        <v>3474.77</v>
      </c>
      <c r="W99" s="76">
        <f t="shared" si="456"/>
        <v>0.86869249999999998</v>
      </c>
      <c r="X99" s="46">
        <f t="shared" si="477"/>
        <v>386.08555555555557</v>
      </c>
      <c r="Y99" s="83">
        <f t="shared" si="616"/>
        <v>409.25068888888893</v>
      </c>
      <c r="Z99" s="83">
        <v>416.66666665999998</v>
      </c>
      <c r="AA99" s="83">
        <f t="shared" si="345"/>
        <v>4999.9999999199999</v>
      </c>
      <c r="AB99" s="81">
        <f t="shared" si="503"/>
        <v>0</v>
      </c>
      <c r="AF99" s="83"/>
      <c r="AG99" s="103">
        <f t="shared" si="493"/>
        <v>0</v>
      </c>
      <c r="AH99" s="96"/>
      <c r="AI99" s="103">
        <f t="shared" si="493"/>
        <v>0</v>
      </c>
      <c r="AJ99" s="83"/>
      <c r="AK99" s="103">
        <f t="shared" ref="AK99:AM99" si="672">AJ99/$AA99</f>
        <v>0</v>
      </c>
      <c r="AL99" s="83"/>
      <c r="AM99" s="103">
        <f t="shared" si="672"/>
        <v>0</v>
      </c>
      <c r="AN99" s="83">
        <v>1100</v>
      </c>
      <c r="AO99" s="103">
        <f t="shared" ref="AO99:AQ99" si="673">AN99/$AA99</f>
        <v>0.22000000000351999</v>
      </c>
      <c r="AP99" s="83"/>
      <c r="AQ99" s="103">
        <f t="shared" si="673"/>
        <v>0</v>
      </c>
      <c r="AR99" s="83"/>
      <c r="AS99" s="103">
        <f t="shared" ref="AS99" si="674">AR99/$AA99</f>
        <v>0</v>
      </c>
      <c r="AT99" s="83"/>
      <c r="AU99" s="103">
        <f t="shared" ref="AU99" si="675">AT99/$AA99</f>
        <v>0</v>
      </c>
      <c r="AV99" s="83"/>
      <c r="AW99" s="103">
        <f t="shared" ref="AW99:BC99" si="676">AV99/$AA99</f>
        <v>0</v>
      </c>
      <c r="AX99" s="83"/>
      <c r="AY99" s="103">
        <f t="shared" si="676"/>
        <v>0</v>
      </c>
      <c r="AZ99" s="83"/>
      <c r="BA99" s="103">
        <f t="shared" si="676"/>
        <v>0</v>
      </c>
      <c r="BB99" s="83"/>
      <c r="BC99" s="103">
        <f t="shared" si="676"/>
        <v>0</v>
      </c>
      <c r="BD99" s="104">
        <f t="shared" si="622"/>
        <v>1100</v>
      </c>
      <c r="BE99" s="103">
        <f t="shared" ref="BE99" si="677">BD99/$AA99</f>
        <v>0.22000000000351999</v>
      </c>
    </row>
    <row r="100" spans="1:57" x14ac:dyDescent="0.25">
      <c r="A100" s="60" t="s">
        <v>112</v>
      </c>
      <c r="B100" s="54">
        <v>3107.5200000000004</v>
      </c>
      <c r="C100" s="38">
        <v>208.33333333333334</v>
      </c>
      <c r="D100" s="46">
        <v>2500</v>
      </c>
      <c r="E100" s="35">
        <f t="shared" si="550"/>
        <v>-0.19549994851199681</v>
      </c>
      <c r="F100" s="46"/>
      <c r="G100" s="46"/>
      <c r="H100" s="46"/>
      <c r="I100" s="46"/>
      <c r="J100" s="46"/>
      <c r="K100" s="46"/>
      <c r="L100" s="46">
        <v>183.48</v>
      </c>
      <c r="M100" s="76">
        <f t="shared" si="455"/>
        <v>0.88070399999999993</v>
      </c>
      <c r="N100" s="46">
        <v>3229.48</v>
      </c>
      <c r="O100" s="76">
        <f t="shared" si="484"/>
        <v>15.501503999999999</v>
      </c>
      <c r="P100" s="46"/>
      <c r="Q100" s="76">
        <f t="shared" si="475"/>
        <v>0</v>
      </c>
      <c r="R100" s="46"/>
      <c r="S100" s="46"/>
      <c r="T100" s="46"/>
      <c r="U100" s="76" t="e">
        <f t="shared" si="476"/>
        <v>#DIV/0!</v>
      </c>
      <c r="V100" s="46">
        <f t="shared" si="615"/>
        <v>3412.96</v>
      </c>
      <c r="W100" s="76">
        <f t="shared" si="456"/>
        <v>1.365184</v>
      </c>
      <c r="X100" s="46">
        <f t="shared" si="477"/>
        <v>379.21777777777777</v>
      </c>
      <c r="Y100" s="83">
        <f t="shared" si="616"/>
        <v>401.97084444444442</v>
      </c>
      <c r="Z100" s="83">
        <v>416.66666665999998</v>
      </c>
      <c r="AA100" s="83">
        <f t="shared" si="345"/>
        <v>4999.9999999199999</v>
      </c>
      <c r="AB100" s="81">
        <f t="shared" si="503"/>
        <v>1137.6533333333334</v>
      </c>
      <c r="AF100" s="83"/>
      <c r="AG100" s="103">
        <f t="shared" si="493"/>
        <v>0</v>
      </c>
      <c r="AH100" s="83"/>
      <c r="AI100" s="103">
        <f t="shared" si="493"/>
        <v>0</v>
      </c>
      <c r="AJ100" s="83"/>
      <c r="AK100" s="103">
        <f t="shared" ref="AK100:AM100" si="678">AJ100/$AA100</f>
        <v>0</v>
      </c>
      <c r="AL100" s="83"/>
      <c r="AM100" s="103">
        <f t="shared" si="678"/>
        <v>0</v>
      </c>
      <c r="AN100" s="83"/>
      <c r="AO100" s="103">
        <f t="shared" ref="AO100:AQ100" si="679">AN100/$AA100</f>
        <v>0</v>
      </c>
      <c r="AP100" s="83"/>
      <c r="AQ100" s="103">
        <f t="shared" si="679"/>
        <v>0</v>
      </c>
      <c r="AR100" s="83"/>
      <c r="AS100" s="103">
        <f t="shared" ref="AS100" si="680">AR100/$AA100</f>
        <v>0</v>
      </c>
      <c r="AT100" s="83">
        <v>1100</v>
      </c>
      <c r="AU100" s="103">
        <f t="shared" ref="AU100" si="681">AT100/$AA100</f>
        <v>0.22000000000351999</v>
      </c>
      <c r="AV100" s="83"/>
      <c r="AW100" s="103">
        <f t="shared" ref="AW100:BC100" si="682">AV100/$AA100</f>
        <v>0</v>
      </c>
      <c r="AX100" s="83"/>
      <c r="AY100" s="103">
        <f t="shared" si="682"/>
        <v>0</v>
      </c>
      <c r="AZ100" s="83"/>
      <c r="BA100" s="103">
        <f t="shared" si="682"/>
        <v>0</v>
      </c>
      <c r="BB100" s="83"/>
      <c r="BC100" s="103">
        <f t="shared" si="682"/>
        <v>0</v>
      </c>
      <c r="BD100" s="104">
        <f t="shared" si="622"/>
        <v>1100</v>
      </c>
      <c r="BE100" s="103">
        <f t="shared" ref="BE100" si="683">BD100/$AA100</f>
        <v>0.22000000000351999</v>
      </c>
    </row>
    <row r="101" spans="1:57" x14ac:dyDescent="0.25">
      <c r="A101" s="98" t="s">
        <v>113</v>
      </c>
      <c r="B101" s="94">
        <v>1747.1999999999998</v>
      </c>
      <c r="C101" s="46">
        <v>125</v>
      </c>
      <c r="D101" s="46">
        <v>1500</v>
      </c>
      <c r="E101" s="95">
        <f t="shared" si="550"/>
        <v>-0.14148351648351642</v>
      </c>
      <c r="F101" s="46">
        <f>532.5+1829.38+31524.68</f>
        <v>33886.559999999998</v>
      </c>
      <c r="G101" s="46">
        <v>3880</v>
      </c>
      <c r="H101" s="46"/>
      <c r="I101" s="46"/>
      <c r="J101" s="46"/>
      <c r="K101" s="46"/>
      <c r="L101" s="46"/>
      <c r="M101" s="76">
        <f t="shared" si="455"/>
        <v>0</v>
      </c>
      <c r="N101" s="46"/>
      <c r="O101" s="76">
        <f t="shared" si="484"/>
        <v>0</v>
      </c>
      <c r="P101" s="46"/>
      <c r="Q101" s="76">
        <f t="shared" si="475"/>
        <v>0</v>
      </c>
      <c r="R101" s="46"/>
      <c r="S101" s="46"/>
      <c r="T101" s="46"/>
      <c r="U101" s="76" t="e">
        <f t="shared" si="476"/>
        <v>#DIV/0!</v>
      </c>
      <c r="V101" s="46">
        <f t="shared" si="615"/>
        <v>37766.559999999998</v>
      </c>
      <c r="W101" s="76">
        <f t="shared" si="456"/>
        <v>25.177706666666666</v>
      </c>
      <c r="X101" s="46">
        <f t="shared" si="477"/>
        <v>4196.2844444444445</v>
      </c>
      <c r="Y101" s="96">
        <f t="shared" si="616"/>
        <v>4448.061511111111</v>
      </c>
      <c r="Z101" s="96">
        <v>833.33333300000004</v>
      </c>
      <c r="AA101" s="96">
        <f t="shared" si="345"/>
        <v>9999.9999960000005</v>
      </c>
      <c r="AB101" s="81">
        <f t="shared" si="503"/>
        <v>0</v>
      </c>
      <c r="AF101" s="96"/>
      <c r="AG101" s="102">
        <f t="shared" si="493"/>
        <v>0</v>
      </c>
      <c r="AH101" s="96"/>
      <c r="AI101" s="102">
        <f t="shared" si="493"/>
        <v>0</v>
      </c>
      <c r="AJ101" s="96"/>
      <c r="AK101" s="102">
        <f t="shared" ref="AK101:AM101" si="684">AJ101/$AA101</f>
        <v>0</v>
      </c>
      <c r="AL101" s="96"/>
      <c r="AM101" s="102">
        <f t="shared" si="684"/>
        <v>0</v>
      </c>
      <c r="AN101" s="96"/>
      <c r="AO101" s="102">
        <f t="shared" ref="AO101:AQ101" si="685">AN101/$AA101</f>
        <v>0</v>
      </c>
      <c r="AP101" s="96"/>
      <c r="AQ101" s="102">
        <f t="shared" si="685"/>
        <v>0</v>
      </c>
      <c r="AR101" s="96"/>
      <c r="AS101" s="102">
        <f t="shared" ref="AS101" si="686">AR101/$AA101</f>
        <v>0</v>
      </c>
      <c r="AT101" s="96"/>
      <c r="AU101" s="102">
        <f t="shared" ref="AU101" si="687">AT101/$AA101</f>
        <v>0</v>
      </c>
      <c r="AV101" s="96"/>
      <c r="AW101" s="102">
        <f t="shared" ref="AW101:BC101" si="688">AV101/$AA101</f>
        <v>0</v>
      </c>
      <c r="AX101" s="96"/>
      <c r="AY101" s="102">
        <f t="shared" si="688"/>
        <v>0</v>
      </c>
      <c r="AZ101" s="96"/>
      <c r="BA101" s="102">
        <f t="shared" si="688"/>
        <v>0</v>
      </c>
      <c r="BB101" s="96"/>
      <c r="BC101" s="102">
        <f t="shared" si="688"/>
        <v>0</v>
      </c>
      <c r="BD101" s="104">
        <f t="shared" si="622"/>
        <v>0</v>
      </c>
      <c r="BE101" s="102">
        <f t="shared" ref="BE101" si="689">BD101/$AA101</f>
        <v>0</v>
      </c>
    </row>
    <row r="102" spans="1:57" x14ac:dyDescent="0.25">
      <c r="A102" s="60" t="s">
        <v>171</v>
      </c>
      <c r="B102" s="54">
        <v>2496</v>
      </c>
      <c r="C102" s="38">
        <v>250</v>
      </c>
      <c r="D102" s="46">
        <v>3000</v>
      </c>
      <c r="E102" s="35">
        <f t="shared" si="550"/>
        <v>0.20192307692307687</v>
      </c>
      <c r="F102" s="46"/>
      <c r="G102" s="46"/>
      <c r="H102" s="46">
        <v>1779</v>
      </c>
      <c r="I102" s="46">
        <f>6518.2+459.91</f>
        <v>6978.11</v>
      </c>
      <c r="J102" s="46"/>
      <c r="K102" s="46">
        <v>450</v>
      </c>
      <c r="L102" s="46"/>
      <c r="M102" s="76">
        <f t="shared" si="455"/>
        <v>0</v>
      </c>
      <c r="N102" s="46"/>
      <c r="O102" s="76">
        <f t="shared" si="484"/>
        <v>0</v>
      </c>
      <c r="P102" s="46"/>
      <c r="Q102" s="76">
        <f t="shared" si="475"/>
        <v>0</v>
      </c>
      <c r="R102" s="46"/>
      <c r="S102" s="46"/>
      <c r="T102" s="46"/>
      <c r="U102" s="76">
        <f t="shared" si="476"/>
        <v>0</v>
      </c>
      <c r="V102" s="46">
        <f t="shared" si="615"/>
        <v>9207.11</v>
      </c>
      <c r="W102" s="76">
        <f t="shared" si="456"/>
        <v>3.0690366666666669</v>
      </c>
      <c r="X102" s="46">
        <f t="shared" si="477"/>
        <v>1023.0122222222222</v>
      </c>
      <c r="Y102" s="83">
        <f t="shared" si="616"/>
        <v>1084.3929555555555</v>
      </c>
      <c r="Z102" s="83">
        <v>833.33333000000005</v>
      </c>
      <c r="AA102" s="83">
        <f t="shared" si="345"/>
        <v>9999.999960000001</v>
      </c>
      <c r="AB102" s="81">
        <f t="shared" si="503"/>
        <v>0</v>
      </c>
      <c r="AF102" s="83">
        <v>3621.08</v>
      </c>
      <c r="AG102" s="103">
        <f t="shared" si="493"/>
        <v>0.36210800144843197</v>
      </c>
      <c r="AH102" s="83"/>
      <c r="AI102" s="103">
        <f t="shared" si="493"/>
        <v>0</v>
      </c>
      <c r="AJ102" s="83"/>
      <c r="AK102" s="103">
        <f t="shared" ref="AK102:AM102" si="690">AJ102/$AA102</f>
        <v>0</v>
      </c>
      <c r="AL102" s="83"/>
      <c r="AM102" s="103">
        <f t="shared" si="690"/>
        <v>0</v>
      </c>
      <c r="AN102" s="83"/>
      <c r="AO102" s="103">
        <f t="shared" ref="AO102:AQ102" si="691">AN102/$AA102</f>
        <v>0</v>
      </c>
      <c r="AP102" s="83"/>
      <c r="AQ102" s="103">
        <f t="shared" si="691"/>
        <v>0</v>
      </c>
      <c r="AR102" s="83"/>
      <c r="AS102" s="103">
        <f t="shared" ref="AS102" si="692">AR102/$AA102</f>
        <v>0</v>
      </c>
      <c r="AT102" s="83"/>
      <c r="AU102" s="103">
        <f t="shared" ref="AU102" si="693">AT102/$AA102</f>
        <v>0</v>
      </c>
      <c r="AV102" s="83"/>
      <c r="AW102" s="103">
        <f t="shared" ref="AW102:BC102" si="694">AV102/$AA102</f>
        <v>0</v>
      </c>
      <c r="AX102" s="83"/>
      <c r="AY102" s="103">
        <f t="shared" si="694"/>
        <v>0</v>
      </c>
      <c r="AZ102" s="83"/>
      <c r="BA102" s="103">
        <f t="shared" si="694"/>
        <v>0</v>
      </c>
      <c r="BB102" s="83"/>
      <c r="BC102" s="103">
        <f t="shared" si="694"/>
        <v>0</v>
      </c>
      <c r="BD102" s="104">
        <f t="shared" si="622"/>
        <v>3621.08</v>
      </c>
      <c r="BE102" s="103">
        <f t="shared" ref="BE102" si="695">BD102/$AA102</f>
        <v>0.36210800144843197</v>
      </c>
    </row>
    <row r="103" spans="1:57" x14ac:dyDescent="0.25">
      <c r="A103" s="60" t="s">
        <v>67</v>
      </c>
      <c r="B103" s="54">
        <v>12480</v>
      </c>
      <c r="C103" s="38">
        <v>1000</v>
      </c>
      <c r="D103" s="46">
        <v>12000</v>
      </c>
      <c r="E103" s="35">
        <f t="shared" si="550"/>
        <v>-3.8461538461538436E-2</v>
      </c>
      <c r="F103" s="46"/>
      <c r="G103" s="46"/>
      <c r="H103" s="46">
        <f>3027.7-550</f>
        <v>2477.6999999999998</v>
      </c>
      <c r="I103" s="46">
        <f>9265.94-1650</f>
        <v>7615.9400000000005</v>
      </c>
      <c r="J103" s="46">
        <f>4023.44-105.96</f>
        <v>3917.48</v>
      </c>
      <c r="K103" s="46"/>
      <c r="L103" s="46"/>
      <c r="M103" s="76">
        <f t="shared" si="455"/>
        <v>0</v>
      </c>
      <c r="N103" s="46"/>
      <c r="O103" s="76">
        <f t="shared" si="484"/>
        <v>0</v>
      </c>
      <c r="P103" s="46"/>
      <c r="Q103" s="76">
        <f t="shared" si="475"/>
        <v>0</v>
      </c>
      <c r="R103" s="46"/>
      <c r="S103" s="46"/>
      <c r="T103" s="46"/>
      <c r="U103" s="76">
        <f t="shared" si="476"/>
        <v>0</v>
      </c>
      <c r="V103" s="46">
        <f t="shared" si="615"/>
        <v>14011.119999999999</v>
      </c>
      <c r="W103" s="76">
        <f t="shared" si="456"/>
        <v>1.1675933333333333</v>
      </c>
      <c r="X103" s="46">
        <f t="shared" si="477"/>
        <v>1556.7911111111109</v>
      </c>
      <c r="Y103" s="83">
        <f t="shared" si="616"/>
        <v>1650.1985777777775</v>
      </c>
      <c r="Z103" s="83">
        <v>1666.6666666599999</v>
      </c>
      <c r="AA103" s="83">
        <f t="shared" si="345"/>
        <v>19999.999999920001</v>
      </c>
      <c r="AB103" s="81">
        <f t="shared" si="503"/>
        <v>0</v>
      </c>
      <c r="AF103" s="83"/>
      <c r="AG103" s="103">
        <f t="shared" si="493"/>
        <v>0</v>
      </c>
      <c r="AH103" s="83"/>
      <c r="AI103" s="103">
        <f t="shared" si="493"/>
        <v>0</v>
      </c>
      <c r="AJ103" s="83"/>
      <c r="AK103" s="103">
        <f t="shared" ref="AK103:AM103" si="696">AJ103/$AA103</f>
        <v>0</v>
      </c>
      <c r="AL103" s="83">
        <v>576.88</v>
      </c>
      <c r="AM103" s="103">
        <f t="shared" si="696"/>
        <v>2.8844000000115375E-2</v>
      </c>
      <c r="AN103" s="83">
        <v>26530</v>
      </c>
      <c r="AO103" s="103">
        <f t="shared" ref="AO103:AQ103" si="697">AN103/$AA103</f>
        <v>1.326500000005306</v>
      </c>
      <c r="AP103" s="83"/>
      <c r="AQ103" s="103">
        <f t="shared" si="697"/>
        <v>0</v>
      </c>
      <c r="AR103" s="83">
        <v>10000</v>
      </c>
      <c r="AS103" s="103">
        <f t="shared" ref="AS103" si="698">AR103/$AA103</f>
        <v>0.50000000000199996</v>
      </c>
      <c r="AT103" s="83"/>
      <c r="AU103" s="103">
        <f t="shared" ref="AU103" si="699">AT103/$AA103</f>
        <v>0</v>
      </c>
      <c r="AV103" s="83"/>
      <c r="AW103" s="103">
        <f t="shared" ref="AW103:BC103" si="700">AV103/$AA103</f>
        <v>0</v>
      </c>
      <c r="AX103" s="83"/>
      <c r="AY103" s="103">
        <f t="shared" si="700"/>
        <v>0</v>
      </c>
      <c r="AZ103" s="83"/>
      <c r="BA103" s="103">
        <f t="shared" si="700"/>
        <v>0</v>
      </c>
      <c r="BB103" s="83"/>
      <c r="BC103" s="103">
        <f t="shared" si="700"/>
        <v>0</v>
      </c>
      <c r="BD103" s="104">
        <f t="shared" si="622"/>
        <v>37106.880000000005</v>
      </c>
      <c r="BE103" s="103">
        <f t="shared" ref="BE103" si="701">BD103/$AA103</f>
        <v>1.8553440000074215</v>
      </c>
    </row>
    <row r="104" spans="1:57" x14ac:dyDescent="0.25">
      <c r="A104" s="58" t="s">
        <v>68</v>
      </c>
      <c r="B104" s="59">
        <v>70380.430848000004</v>
      </c>
      <c r="C104" s="42">
        <v>5810</v>
      </c>
      <c r="D104" s="42">
        <f>SUM(D105:D109)</f>
        <v>81720</v>
      </c>
      <c r="E104" s="35">
        <f t="shared" si="550"/>
        <v>0.16111821163030338</v>
      </c>
      <c r="F104" s="42">
        <f>SUM(F105:F109)</f>
        <v>6871.82</v>
      </c>
      <c r="G104" s="42">
        <f t="shared" ref="G104:V104" si="702">SUM(G105:G109)</f>
        <v>6871.82</v>
      </c>
      <c r="H104" s="42">
        <f t="shared" si="702"/>
        <v>5950</v>
      </c>
      <c r="I104" s="42">
        <f t="shared" si="702"/>
        <v>6871.82</v>
      </c>
      <c r="J104" s="42">
        <f t="shared" si="702"/>
        <v>5950</v>
      </c>
      <c r="K104" s="42">
        <f t="shared" si="702"/>
        <v>6871.82</v>
      </c>
      <c r="L104" s="42">
        <f t="shared" si="702"/>
        <v>5050</v>
      </c>
      <c r="M104" s="78">
        <f t="shared" si="455"/>
        <v>0.86919104991394147</v>
      </c>
      <c r="N104" s="42">
        <f t="shared" si="702"/>
        <v>6871.82</v>
      </c>
      <c r="O104" s="78">
        <f t="shared" si="484"/>
        <v>1.1827573149741823</v>
      </c>
      <c r="P104" s="42">
        <f t="shared" si="702"/>
        <v>6850</v>
      </c>
      <c r="Q104" s="78">
        <f t="shared" si="475"/>
        <v>1.1790017211703958</v>
      </c>
      <c r="R104" s="42">
        <f t="shared" si="702"/>
        <v>0</v>
      </c>
      <c r="S104" s="42">
        <f t="shared" si="702"/>
        <v>0</v>
      </c>
      <c r="T104" s="42">
        <f t="shared" si="702"/>
        <v>0</v>
      </c>
      <c r="U104" s="78">
        <f t="shared" si="476"/>
        <v>0</v>
      </c>
      <c r="V104" s="42">
        <f t="shared" si="702"/>
        <v>58159.1</v>
      </c>
      <c r="W104" s="78">
        <f t="shared" si="456"/>
        <v>0.71168746940773375</v>
      </c>
      <c r="X104" s="42">
        <f t="shared" si="477"/>
        <v>6462.1222222222223</v>
      </c>
      <c r="Y104" s="42">
        <f t="shared" ref="Y104" si="703">SUM(Y105:Y109)</f>
        <v>6849.8495555555555</v>
      </c>
      <c r="Z104" s="42">
        <v>7108.3344444444447</v>
      </c>
      <c r="AA104" s="42">
        <f>SUM(AA105:AA109)</f>
        <v>85300.013333333336</v>
      </c>
      <c r="AB104" s="81">
        <f t="shared" si="503"/>
        <v>6257.2733333333335</v>
      </c>
      <c r="AF104" s="42">
        <f>SUM(AF105:AF109)</f>
        <v>6704.85</v>
      </c>
      <c r="AG104" s="78">
        <f t="shared" si="493"/>
        <v>7.860315301240281E-2</v>
      </c>
      <c r="AH104" s="42">
        <f>SUM(AH105:AH109)</f>
        <v>7604.85</v>
      </c>
      <c r="AI104" s="78">
        <f t="shared" si="493"/>
        <v>8.9154147846166806E-2</v>
      </c>
      <c r="AJ104" s="42">
        <f>SUM(AJ105:AJ109)</f>
        <v>6628</v>
      </c>
      <c r="AK104" s="78">
        <f t="shared" ref="AK104:AM104" si="704">AJ104/$AA104</f>
        <v>7.7702215286875292E-2</v>
      </c>
      <c r="AL104" s="42">
        <f>SUM(AL105:AL109)</f>
        <v>7704.85</v>
      </c>
      <c r="AM104" s="78">
        <f t="shared" si="704"/>
        <v>9.0326480605473922E-2</v>
      </c>
      <c r="AN104" s="42">
        <f>SUM(AN105:AN109)</f>
        <v>6728</v>
      </c>
      <c r="AO104" s="78">
        <f t="shared" ref="AO104:AQ104" si="705">AN104/$AA104</f>
        <v>7.8874548046182408E-2</v>
      </c>
      <c r="AP104" s="42">
        <f>SUM(AP105:AP109)</f>
        <v>7704.85</v>
      </c>
      <c r="AQ104" s="78">
        <f t="shared" si="705"/>
        <v>9.0326480605473922E-2</v>
      </c>
      <c r="AR104" s="42">
        <f>SUM(AR105:AR109)</f>
        <v>6728</v>
      </c>
      <c r="AS104" s="78">
        <f t="shared" ref="AS104" si="706">AR104/$AA104</f>
        <v>7.8874548046182408E-2</v>
      </c>
      <c r="AT104" s="42">
        <f>SUM(AT105:AT109)</f>
        <v>8204.85</v>
      </c>
      <c r="AU104" s="78">
        <f t="shared" ref="AU104" si="707">AT104/$AA104</f>
        <v>9.6188144402009471E-2</v>
      </c>
      <c r="AV104" s="42">
        <f>SUM(AV105:AV109)</f>
        <v>6978</v>
      </c>
      <c r="AW104" s="78">
        <f t="shared" ref="AW104:BC104" si="708">AV104/$AA104</f>
        <v>8.1805379944450182E-2</v>
      </c>
      <c r="AX104" s="42">
        <f>SUM(AX105:AX109)</f>
        <v>0</v>
      </c>
      <c r="AY104" s="78">
        <f t="shared" si="708"/>
        <v>0</v>
      </c>
      <c r="AZ104" s="42">
        <f>SUM(AZ105:AZ109)</f>
        <v>0</v>
      </c>
      <c r="BA104" s="78">
        <f t="shared" si="708"/>
        <v>0</v>
      </c>
      <c r="BB104" s="42">
        <f>SUM(BB105:BB109)</f>
        <v>0</v>
      </c>
      <c r="BC104" s="78">
        <f t="shared" si="708"/>
        <v>0</v>
      </c>
      <c r="BD104" s="42">
        <f t="shared" ref="BD104" si="709">SUM(BD105:BD109)</f>
        <v>64236.25</v>
      </c>
      <c r="BE104" s="78">
        <f t="shared" ref="BE104" si="710">BD104/$AA104</f>
        <v>0.75306260210041387</v>
      </c>
    </row>
    <row r="105" spans="1:57" x14ac:dyDescent="0.25">
      <c r="A105" s="63" t="s">
        <v>116</v>
      </c>
      <c r="B105" s="54">
        <v>16716.430848000007</v>
      </c>
      <c r="C105" s="38">
        <v>460</v>
      </c>
      <c r="D105" s="38">
        <f>C105*12</f>
        <v>5520</v>
      </c>
      <c r="E105" s="35">
        <f t="shared" si="550"/>
        <v>-0.66978596985250438</v>
      </c>
      <c r="F105" s="38">
        <v>921.82</v>
      </c>
      <c r="G105" s="38">
        <v>921.82</v>
      </c>
      <c r="H105" s="38"/>
      <c r="I105" s="38">
        <v>921.82</v>
      </c>
      <c r="J105" s="38"/>
      <c r="K105" s="38">
        <v>921.82</v>
      </c>
      <c r="L105" s="38"/>
      <c r="M105" s="75">
        <f t="shared" si="455"/>
        <v>0</v>
      </c>
      <c r="N105" s="38">
        <v>921.82</v>
      </c>
      <c r="O105" s="75">
        <f t="shared" si="484"/>
        <v>2.0039565217391306</v>
      </c>
      <c r="P105" s="38"/>
      <c r="Q105" s="75">
        <f t="shared" si="475"/>
        <v>0</v>
      </c>
      <c r="R105" s="38"/>
      <c r="S105" s="38"/>
      <c r="T105" s="38"/>
      <c r="U105" s="75">
        <f t="shared" si="476"/>
        <v>0</v>
      </c>
      <c r="V105" s="38">
        <f>T105+S105+R105+P105+N105+L105+K105+J105+I105+H105+G105+F105</f>
        <v>4609.1000000000004</v>
      </c>
      <c r="W105" s="75">
        <f t="shared" si="456"/>
        <v>0.83498188405797114</v>
      </c>
      <c r="X105" s="38">
        <f t="shared" si="477"/>
        <v>512.12222222222226</v>
      </c>
      <c r="Y105" s="83">
        <f t="shared" ref="Y105:Y109" si="711">X105+(X105*$Y$2)</f>
        <v>542.84955555555564</v>
      </c>
      <c r="Z105" s="83">
        <v>563.33444444444444</v>
      </c>
      <c r="AA105" s="83">
        <f t="shared" si="345"/>
        <v>6760.0133333333333</v>
      </c>
      <c r="AB105" s="81">
        <f t="shared" si="503"/>
        <v>307.27333333333337</v>
      </c>
      <c r="AF105" s="83">
        <v>976.85</v>
      </c>
      <c r="AG105" s="103">
        <f t="shared" si="493"/>
        <v>0.14450415285176954</v>
      </c>
      <c r="AH105" s="96">
        <v>976.85</v>
      </c>
      <c r="AI105" s="103">
        <f t="shared" si="493"/>
        <v>0.14450415285176954</v>
      </c>
      <c r="AJ105" s="83"/>
      <c r="AK105" s="103">
        <f t="shared" ref="AK105:AM105" si="712">AJ105/$AA105</f>
        <v>0</v>
      </c>
      <c r="AL105" s="83">
        <v>976.85</v>
      </c>
      <c r="AM105" s="103">
        <f t="shared" si="712"/>
        <v>0.14450415285176954</v>
      </c>
      <c r="AN105" s="83"/>
      <c r="AO105" s="103">
        <f t="shared" ref="AO105:AQ105" si="713">AN105/$AA105</f>
        <v>0</v>
      </c>
      <c r="AP105" s="83">
        <v>976.85</v>
      </c>
      <c r="AQ105" s="103">
        <f t="shared" si="713"/>
        <v>0.14450415285176954</v>
      </c>
      <c r="AR105" s="83"/>
      <c r="AS105" s="103">
        <f t="shared" ref="AS105" si="714">AR105/$AA105</f>
        <v>0</v>
      </c>
      <c r="AT105" s="83">
        <v>976.85</v>
      </c>
      <c r="AU105" s="103">
        <f t="shared" ref="AU105" si="715">AT105/$AA105</f>
        <v>0.14450415285176954</v>
      </c>
      <c r="AV105" s="83"/>
      <c r="AW105" s="103">
        <f t="shared" ref="AW105:BC105" si="716">AV105/$AA105</f>
        <v>0</v>
      </c>
      <c r="AX105" s="83"/>
      <c r="AY105" s="103">
        <f t="shared" si="716"/>
        <v>0</v>
      </c>
      <c r="AZ105" s="83"/>
      <c r="BA105" s="103">
        <f t="shared" si="716"/>
        <v>0</v>
      </c>
      <c r="BB105" s="83"/>
      <c r="BC105" s="103">
        <f t="shared" si="716"/>
        <v>0</v>
      </c>
      <c r="BD105" s="104">
        <f t="shared" ref="BD105:BD108" si="717">AF105+AH105+AJ105+AL105+AN105+AP105+AR105+AT105+AV105+AX105+AZ105+BB105</f>
        <v>4884.25</v>
      </c>
      <c r="BE105" s="103">
        <f t="shared" ref="BE105" si="718">BD105/$AA105</f>
        <v>0.72252076425884759</v>
      </c>
    </row>
    <row r="106" spans="1:57" x14ac:dyDescent="0.25">
      <c r="A106" s="63" t="s">
        <v>69</v>
      </c>
      <c r="B106" s="54">
        <v>0</v>
      </c>
      <c r="C106" s="38"/>
      <c r="D106" s="38">
        <v>12000</v>
      </c>
      <c r="E106" s="35">
        <f t="shared" si="550"/>
        <v>0</v>
      </c>
      <c r="F106" s="38">
        <v>900</v>
      </c>
      <c r="G106" s="38">
        <v>900</v>
      </c>
      <c r="H106" s="38">
        <v>900</v>
      </c>
      <c r="I106" s="38">
        <v>900</v>
      </c>
      <c r="J106" s="38">
        <v>900</v>
      </c>
      <c r="K106" s="38">
        <v>900</v>
      </c>
      <c r="L106" s="38"/>
      <c r="M106" s="75" t="e">
        <f t="shared" si="455"/>
        <v>#DIV/0!</v>
      </c>
      <c r="N106" s="38">
        <v>900</v>
      </c>
      <c r="O106" s="75" t="e">
        <f t="shared" si="484"/>
        <v>#DIV/0!</v>
      </c>
      <c r="P106" s="38">
        <v>1800</v>
      </c>
      <c r="Q106" s="75" t="e">
        <f t="shared" si="475"/>
        <v>#DIV/0!</v>
      </c>
      <c r="R106" s="38"/>
      <c r="S106" s="38"/>
      <c r="T106" s="38"/>
      <c r="U106" s="75">
        <f t="shared" si="476"/>
        <v>0</v>
      </c>
      <c r="V106" s="38">
        <f>T106+S106+R106+P106+N106+L106+K106+J106+I106+H106+G106+F106</f>
        <v>8100</v>
      </c>
      <c r="W106" s="75">
        <f t="shared" si="456"/>
        <v>0.67500000000000004</v>
      </c>
      <c r="X106" s="38">
        <f t="shared" si="477"/>
        <v>900</v>
      </c>
      <c r="Y106" s="83">
        <f t="shared" si="711"/>
        <v>954</v>
      </c>
      <c r="Z106" s="83">
        <v>990</v>
      </c>
      <c r="AA106" s="83">
        <f t="shared" si="345"/>
        <v>11880</v>
      </c>
      <c r="AB106" s="81">
        <f t="shared" si="503"/>
        <v>900</v>
      </c>
      <c r="AF106" s="83"/>
      <c r="AG106" s="103">
        <f t="shared" si="493"/>
        <v>0</v>
      </c>
      <c r="AH106" s="96">
        <v>900</v>
      </c>
      <c r="AI106" s="103">
        <f t="shared" si="493"/>
        <v>7.575757575757576E-2</v>
      </c>
      <c r="AJ106" s="83">
        <v>900</v>
      </c>
      <c r="AK106" s="103">
        <f t="shared" ref="AK106:AM106" si="719">AJ106/$AA106</f>
        <v>7.575757575757576E-2</v>
      </c>
      <c r="AL106" s="83">
        <v>1000</v>
      </c>
      <c r="AM106" s="103">
        <f t="shared" si="719"/>
        <v>8.4175084175084181E-2</v>
      </c>
      <c r="AN106" s="83">
        <v>1000</v>
      </c>
      <c r="AO106" s="103">
        <f t="shared" ref="AO106:AQ106" si="720">AN106/$AA106</f>
        <v>8.4175084175084181E-2</v>
      </c>
      <c r="AP106" s="83">
        <v>1000</v>
      </c>
      <c r="AQ106" s="103">
        <f t="shared" si="720"/>
        <v>8.4175084175084181E-2</v>
      </c>
      <c r="AR106" s="83">
        <v>1000</v>
      </c>
      <c r="AS106" s="103">
        <f t="shared" ref="AS106" si="721">AR106/$AA106</f>
        <v>8.4175084175084181E-2</v>
      </c>
      <c r="AT106" s="83">
        <v>1000</v>
      </c>
      <c r="AU106" s="103">
        <f t="shared" ref="AU106" si="722">AT106/$AA106</f>
        <v>8.4175084175084181E-2</v>
      </c>
      <c r="AV106" s="83">
        <v>1000</v>
      </c>
      <c r="AW106" s="103">
        <f t="shared" ref="AW106:BC106" si="723">AV106/$AA106</f>
        <v>8.4175084175084181E-2</v>
      </c>
      <c r="AX106" s="83"/>
      <c r="AY106" s="103">
        <f t="shared" si="723"/>
        <v>0</v>
      </c>
      <c r="AZ106" s="83"/>
      <c r="BA106" s="103">
        <f t="shared" si="723"/>
        <v>0</v>
      </c>
      <c r="BB106" s="83"/>
      <c r="BC106" s="103">
        <f t="shared" si="723"/>
        <v>0</v>
      </c>
      <c r="BD106" s="104">
        <f t="shared" si="717"/>
        <v>7800</v>
      </c>
      <c r="BE106" s="103">
        <f t="shared" ref="BE106" si="724">BD106/$AA106</f>
        <v>0.65656565656565657</v>
      </c>
    </row>
    <row r="107" spans="1:57" x14ac:dyDescent="0.25">
      <c r="A107" s="63" t="s">
        <v>70</v>
      </c>
      <c r="B107" s="54">
        <v>37440</v>
      </c>
      <c r="C107" s="38">
        <v>3650</v>
      </c>
      <c r="D107" s="38">
        <f t="shared" ref="D107:D109" si="725">C107*12</f>
        <v>43800</v>
      </c>
      <c r="E107" s="35">
        <f t="shared" si="550"/>
        <v>0.16987179487179493</v>
      </c>
      <c r="F107" s="38">
        <v>3650</v>
      </c>
      <c r="G107" s="38">
        <v>3650</v>
      </c>
      <c r="H107" s="38">
        <v>3650</v>
      </c>
      <c r="I107" s="38">
        <v>3650</v>
      </c>
      <c r="J107" s="38">
        <v>3650</v>
      </c>
      <c r="K107" s="38">
        <v>3650</v>
      </c>
      <c r="L107" s="38">
        <v>3650</v>
      </c>
      <c r="M107" s="75">
        <f t="shared" si="455"/>
        <v>1</v>
      </c>
      <c r="N107" s="38">
        <v>3650</v>
      </c>
      <c r="O107" s="75">
        <f t="shared" si="484"/>
        <v>1</v>
      </c>
      <c r="P107" s="38">
        <v>3650</v>
      </c>
      <c r="Q107" s="75">
        <f t="shared" si="475"/>
        <v>1</v>
      </c>
      <c r="R107" s="38"/>
      <c r="S107" s="38"/>
      <c r="T107" s="38"/>
      <c r="U107" s="75">
        <f t="shared" si="476"/>
        <v>0</v>
      </c>
      <c r="V107" s="38">
        <f>T107+S107+R107+P107+N107+L107+K107+J107+I107+H107+G107+F107</f>
        <v>32850</v>
      </c>
      <c r="W107" s="75">
        <f t="shared" si="456"/>
        <v>0.75</v>
      </c>
      <c r="X107" s="38">
        <f t="shared" si="477"/>
        <v>3650</v>
      </c>
      <c r="Y107" s="83">
        <f t="shared" si="711"/>
        <v>3869</v>
      </c>
      <c r="Z107" s="83">
        <v>4015</v>
      </c>
      <c r="AA107" s="83">
        <f t="shared" si="345"/>
        <v>48180</v>
      </c>
      <c r="AB107" s="81">
        <f t="shared" si="503"/>
        <v>3650</v>
      </c>
      <c r="AF107" s="83">
        <v>4202</v>
      </c>
      <c r="AG107" s="103">
        <f t="shared" si="493"/>
        <v>8.7214611872146117E-2</v>
      </c>
      <c r="AH107" s="96">
        <v>4202</v>
      </c>
      <c r="AI107" s="103">
        <f t="shared" si="493"/>
        <v>8.7214611872146117E-2</v>
      </c>
      <c r="AJ107" s="83">
        <v>4202</v>
      </c>
      <c r="AK107" s="103">
        <f t="shared" ref="AK107:AM107" si="726">AJ107/$AA107</f>
        <v>8.7214611872146117E-2</v>
      </c>
      <c r="AL107" s="83">
        <v>4202</v>
      </c>
      <c r="AM107" s="103">
        <f t="shared" si="726"/>
        <v>8.7214611872146117E-2</v>
      </c>
      <c r="AN107" s="83">
        <v>4202</v>
      </c>
      <c r="AO107" s="103">
        <f t="shared" ref="AO107:AQ107" si="727">AN107/$AA107</f>
        <v>8.7214611872146117E-2</v>
      </c>
      <c r="AP107" s="83">
        <v>4202</v>
      </c>
      <c r="AQ107" s="103">
        <f t="shared" si="727"/>
        <v>8.7214611872146117E-2</v>
      </c>
      <c r="AR107" s="83">
        <v>4202</v>
      </c>
      <c r="AS107" s="103">
        <f t="shared" ref="AS107" si="728">AR107/$AA107</f>
        <v>8.7214611872146117E-2</v>
      </c>
      <c r="AT107" s="83">
        <v>4202</v>
      </c>
      <c r="AU107" s="103">
        <f t="shared" ref="AU107" si="729">AT107/$AA107</f>
        <v>8.7214611872146117E-2</v>
      </c>
      <c r="AV107" s="83">
        <v>4202</v>
      </c>
      <c r="AW107" s="103">
        <f t="shared" ref="AW107:BC107" si="730">AV107/$AA107</f>
        <v>8.7214611872146117E-2</v>
      </c>
      <c r="AX107" s="83"/>
      <c r="AY107" s="103">
        <f t="shared" si="730"/>
        <v>0</v>
      </c>
      <c r="AZ107" s="83"/>
      <c r="BA107" s="103">
        <f t="shared" si="730"/>
        <v>0</v>
      </c>
      <c r="BB107" s="83"/>
      <c r="BC107" s="103">
        <f t="shared" si="730"/>
        <v>0</v>
      </c>
      <c r="BD107" s="104">
        <f t="shared" si="717"/>
        <v>37818</v>
      </c>
      <c r="BE107" s="103">
        <f t="shared" ref="BE107" si="731">BD107/$AA107</f>
        <v>0.78493150684931512</v>
      </c>
    </row>
    <row r="108" spans="1:57" x14ac:dyDescent="0.25">
      <c r="A108" s="63" t="s">
        <v>71</v>
      </c>
      <c r="B108" s="54">
        <v>16224</v>
      </c>
      <c r="C108" s="38">
        <v>1450</v>
      </c>
      <c r="D108" s="38">
        <f t="shared" si="725"/>
        <v>17400</v>
      </c>
      <c r="E108" s="35">
        <f t="shared" si="550"/>
        <v>7.2485207100591698E-2</v>
      </c>
      <c r="F108" s="38">
        <v>1400</v>
      </c>
      <c r="G108" s="38">
        <v>1400</v>
      </c>
      <c r="H108" s="38">
        <v>1400</v>
      </c>
      <c r="I108" s="38">
        <v>1400</v>
      </c>
      <c r="J108" s="38">
        <v>1400</v>
      </c>
      <c r="K108" s="38">
        <v>1400</v>
      </c>
      <c r="L108" s="38">
        <v>1400</v>
      </c>
      <c r="M108" s="75">
        <f t="shared" si="455"/>
        <v>0.96551724137931039</v>
      </c>
      <c r="N108" s="38">
        <v>1400</v>
      </c>
      <c r="O108" s="75">
        <f t="shared" si="484"/>
        <v>0.96551724137931039</v>
      </c>
      <c r="P108" s="38">
        <v>1400</v>
      </c>
      <c r="Q108" s="75">
        <f t="shared" si="475"/>
        <v>0.96551724137931039</v>
      </c>
      <c r="R108" s="38"/>
      <c r="S108" s="38"/>
      <c r="T108" s="38"/>
      <c r="U108" s="75">
        <f t="shared" si="476"/>
        <v>0</v>
      </c>
      <c r="V108" s="38">
        <f>T108+S108+R108+P108+N108+L108+K108+J108+I108+H108+G108+F108</f>
        <v>12600</v>
      </c>
      <c r="W108" s="75">
        <f t="shared" si="456"/>
        <v>0.72413793103448276</v>
      </c>
      <c r="X108" s="38">
        <f t="shared" si="477"/>
        <v>1400</v>
      </c>
      <c r="Y108" s="83">
        <f t="shared" si="711"/>
        <v>1484</v>
      </c>
      <c r="Z108" s="83">
        <v>1540</v>
      </c>
      <c r="AA108" s="83">
        <f t="shared" si="345"/>
        <v>18480</v>
      </c>
      <c r="AB108" s="81">
        <f t="shared" si="503"/>
        <v>1400</v>
      </c>
      <c r="AF108" s="83">
        <v>1526</v>
      </c>
      <c r="AG108" s="103">
        <f t="shared" si="493"/>
        <v>8.257575757575758E-2</v>
      </c>
      <c r="AH108" s="96">
        <v>1526</v>
      </c>
      <c r="AI108" s="103">
        <f t="shared" si="493"/>
        <v>8.257575757575758E-2</v>
      </c>
      <c r="AJ108" s="83">
        <v>1526</v>
      </c>
      <c r="AK108" s="103">
        <f t="shared" ref="AK108:AM108" si="732">AJ108/$AA108</f>
        <v>8.257575757575758E-2</v>
      </c>
      <c r="AL108" s="83">
        <v>1526</v>
      </c>
      <c r="AM108" s="103">
        <f t="shared" si="732"/>
        <v>8.257575757575758E-2</v>
      </c>
      <c r="AN108" s="83">
        <v>1526</v>
      </c>
      <c r="AO108" s="103">
        <f t="shared" ref="AO108:AQ108" si="733">AN108/$AA108</f>
        <v>8.257575757575758E-2</v>
      </c>
      <c r="AP108" s="83">
        <v>1526</v>
      </c>
      <c r="AQ108" s="103">
        <f t="shared" si="733"/>
        <v>8.257575757575758E-2</v>
      </c>
      <c r="AR108" s="83">
        <v>1526</v>
      </c>
      <c r="AS108" s="103">
        <f t="shared" ref="AS108" si="734">AR108/$AA108</f>
        <v>8.257575757575758E-2</v>
      </c>
      <c r="AT108" s="83">
        <v>1526</v>
      </c>
      <c r="AU108" s="103">
        <f t="shared" ref="AU108:AU109" si="735">AT108/$AA108</f>
        <v>8.257575757575758E-2</v>
      </c>
      <c r="AV108" s="83">
        <v>1526</v>
      </c>
      <c r="AW108" s="103">
        <f t="shared" ref="AW108:BC109" si="736">AV108/$AA108</f>
        <v>8.257575757575758E-2</v>
      </c>
      <c r="AX108" s="83"/>
      <c r="AY108" s="103">
        <f t="shared" si="736"/>
        <v>0</v>
      </c>
      <c r="AZ108" s="83"/>
      <c r="BA108" s="103">
        <f t="shared" si="736"/>
        <v>0</v>
      </c>
      <c r="BB108" s="83"/>
      <c r="BC108" s="103">
        <f t="shared" si="736"/>
        <v>0</v>
      </c>
      <c r="BD108" s="104">
        <f t="shared" si="717"/>
        <v>13734</v>
      </c>
      <c r="BE108" s="103">
        <f t="shared" ref="BE108" si="737">BD108/$AA108</f>
        <v>0.74318181818181817</v>
      </c>
    </row>
    <row r="109" spans="1:57" x14ac:dyDescent="0.25">
      <c r="A109" s="63" t="s">
        <v>213</v>
      </c>
      <c r="B109" s="54">
        <v>0</v>
      </c>
      <c r="C109" s="38">
        <v>250</v>
      </c>
      <c r="D109" s="38">
        <f t="shared" si="725"/>
        <v>3000</v>
      </c>
      <c r="E109" s="35">
        <f t="shared" si="550"/>
        <v>0</v>
      </c>
      <c r="F109" s="38">
        <v>0</v>
      </c>
      <c r="G109" s="38"/>
      <c r="H109" s="38"/>
      <c r="I109" s="38"/>
      <c r="J109" s="38"/>
      <c r="K109" s="38"/>
      <c r="L109" s="38"/>
      <c r="M109" s="75">
        <f t="shared" si="455"/>
        <v>0</v>
      </c>
      <c r="N109" s="38"/>
      <c r="O109" s="75">
        <f t="shared" si="484"/>
        <v>0</v>
      </c>
      <c r="P109" s="38"/>
      <c r="Q109" s="75">
        <f t="shared" si="475"/>
        <v>0</v>
      </c>
      <c r="R109" s="38"/>
      <c r="S109" s="38"/>
      <c r="T109" s="38"/>
      <c r="U109" s="75" t="e">
        <f t="shared" si="476"/>
        <v>#DIV/0!</v>
      </c>
      <c r="V109" s="38">
        <f>T109+S109+R109+P109+N109+L109+K109+J109+I109+H109+G109+F109</f>
        <v>0</v>
      </c>
      <c r="W109" s="75">
        <f t="shared" si="456"/>
        <v>0</v>
      </c>
      <c r="X109" s="38">
        <f t="shared" si="477"/>
        <v>0</v>
      </c>
      <c r="Y109" s="83">
        <f t="shared" si="711"/>
        <v>0</v>
      </c>
      <c r="Z109" s="83">
        <v>0</v>
      </c>
      <c r="AA109" s="83">
        <f t="shared" si="345"/>
        <v>0</v>
      </c>
      <c r="AB109" s="81">
        <f t="shared" si="503"/>
        <v>0</v>
      </c>
      <c r="AF109" s="83"/>
      <c r="AG109" s="103"/>
      <c r="AH109" s="83"/>
      <c r="AI109" s="103"/>
      <c r="AJ109" s="83"/>
      <c r="AK109" s="103"/>
      <c r="AL109" s="83"/>
      <c r="AM109" s="103"/>
      <c r="AN109" s="83"/>
      <c r="AO109" s="103"/>
      <c r="AP109" s="83"/>
      <c r="AQ109" s="103"/>
      <c r="AR109" s="83"/>
      <c r="AS109" s="103"/>
      <c r="AT109" s="83">
        <v>500</v>
      </c>
      <c r="AU109" s="103" t="e">
        <f t="shared" si="735"/>
        <v>#DIV/0!</v>
      </c>
      <c r="AV109" s="83">
        <v>250</v>
      </c>
      <c r="AW109" s="103" t="e">
        <f t="shared" si="736"/>
        <v>#DIV/0!</v>
      </c>
      <c r="AX109" s="83"/>
      <c r="AY109" s="103"/>
      <c r="AZ109" s="83"/>
      <c r="BA109" s="103"/>
      <c r="BB109" s="83"/>
      <c r="BC109" s="103"/>
      <c r="BD109" s="105"/>
      <c r="BE109" s="103"/>
    </row>
    <row r="110" spans="1:57" x14ac:dyDescent="0.25">
      <c r="A110" s="57" t="s">
        <v>72</v>
      </c>
      <c r="B110" s="56">
        <v>521000.00233066658</v>
      </c>
      <c r="C110" s="41">
        <v>54166.666666666664</v>
      </c>
      <c r="D110" s="41">
        <f>D111</f>
        <v>614000</v>
      </c>
      <c r="E110" s="35">
        <f t="shared" si="550"/>
        <v>0.17850287380672314</v>
      </c>
      <c r="F110" s="41">
        <f>F111</f>
        <v>34689.06</v>
      </c>
      <c r="G110" s="41">
        <f t="shared" ref="G110:V110" si="738">G111</f>
        <v>41927.46</v>
      </c>
      <c r="H110" s="41">
        <f t="shared" si="738"/>
        <v>49903.519999999997</v>
      </c>
      <c r="I110" s="41">
        <f t="shared" si="738"/>
        <v>55389.36</v>
      </c>
      <c r="J110" s="41">
        <f t="shared" si="738"/>
        <v>35403.779999999992</v>
      </c>
      <c r="K110" s="41">
        <f t="shared" si="738"/>
        <v>39675.679999999993</v>
      </c>
      <c r="L110" s="41">
        <f t="shared" si="738"/>
        <v>50014.86</v>
      </c>
      <c r="M110" s="77">
        <f t="shared" si="455"/>
        <v>0.92335126153846159</v>
      </c>
      <c r="N110" s="41">
        <f t="shared" si="738"/>
        <v>83042.289999999994</v>
      </c>
      <c r="O110" s="77">
        <f t="shared" si="484"/>
        <v>1.5330884307692307</v>
      </c>
      <c r="P110" s="41">
        <f t="shared" si="738"/>
        <v>47431.19</v>
      </c>
      <c r="Q110" s="77">
        <f t="shared" si="475"/>
        <v>0.87565273846153857</v>
      </c>
      <c r="R110" s="41">
        <f t="shared" si="738"/>
        <v>0</v>
      </c>
      <c r="S110" s="41">
        <f t="shared" si="738"/>
        <v>0</v>
      </c>
      <c r="T110" s="41">
        <f t="shared" si="738"/>
        <v>0</v>
      </c>
      <c r="U110" s="77">
        <f t="shared" si="476"/>
        <v>0</v>
      </c>
      <c r="V110" s="41">
        <f t="shared" si="738"/>
        <v>437477.19999999995</v>
      </c>
      <c r="W110" s="77">
        <f t="shared" si="456"/>
        <v>0.71250358306188921</v>
      </c>
      <c r="X110" s="41">
        <f t="shared" si="477"/>
        <v>48608.577777777769</v>
      </c>
      <c r="Y110" s="41">
        <f t="shared" ref="Y110" si="739">Y111</f>
        <v>51525.092444444424</v>
      </c>
      <c r="Z110" s="41">
        <v>53469.435555555552</v>
      </c>
      <c r="AA110" s="41">
        <f>AA111</f>
        <v>737025.84266666661</v>
      </c>
      <c r="AB110" s="81">
        <f t="shared" si="503"/>
        <v>60162.78</v>
      </c>
      <c r="AC110" t="s">
        <v>187</v>
      </c>
      <c r="AF110" s="41">
        <f>AF111</f>
        <v>64496.98</v>
      </c>
      <c r="AG110" s="77">
        <f t="shared" si="493"/>
        <v>8.7509794455294207E-2</v>
      </c>
      <c r="AH110" s="41">
        <f>AH111</f>
        <v>57243.659999999996</v>
      </c>
      <c r="AI110" s="77">
        <f t="shared" si="493"/>
        <v>7.7668457042000205E-2</v>
      </c>
      <c r="AJ110" s="41">
        <f>AJ111</f>
        <v>31632.78</v>
      </c>
      <c r="AK110" s="77">
        <f t="shared" ref="AK110:AM110" si="740">AJ110/$AA110</f>
        <v>4.2919499112199382E-2</v>
      </c>
      <c r="AL110" s="41">
        <f>AL111</f>
        <v>28947.930000000004</v>
      </c>
      <c r="AM110" s="77">
        <f t="shared" si="740"/>
        <v>3.9276682477322897E-2</v>
      </c>
      <c r="AN110" s="41">
        <f>AN111</f>
        <v>27765.49</v>
      </c>
      <c r="AO110" s="77">
        <f t="shared" ref="AO110:AQ110" si="741">AN110/$AA110</f>
        <v>3.7672342532170139E-2</v>
      </c>
      <c r="AP110" s="41">
        <f>AP111</f>
        <v>30695.420000000002</v>
      </c>
      <c r="AQ110" s="77">
        <f t="shared" si="741"/>
        <v>4.1647684820574966E-2</v>
      </c>
      <c r="AR110" s="41">
        <f>AR111</f>
        <v>40165.550000000003</v>
      </c>
      <c r="AS110" s="77">
        <f t="shared" ref="AS110" si="742">AR110/$AA110</f>
        <v>5.4496800077830657E-2</v>
      </c>
      <c r="AT110" s="41">
        <f>AT111</f>
        <v>51501.040000000008</v>
      </c>
      <c r="AU110" s="77">
        <f t="shared" ref="AU110" si="743">AT110/$AA110</f>
        <v>6.9876844227960533E-2</v>
      </c>
      <c r="AV110" s="41">
        <f>AV111</f>
        <v>28397.23</v>
      </c>
      <c r="AW110" s="77">
        <f t="shared" ref="AW110:BC110" si="744">AV110/$AA110</f>
        <v>3.8529490224189014E-2</v>
      </c>
      <c r="AX110" s="41">
        <f>AX111</f>
        <v>0</v>
      </c>
      <c r="AY110" s="77">
        <f t="shared" si="744"/>
        <v>0</v>
      </c>
      <c r="AZ110" s="41">
        <f>AZ111</f>
        <v>0</v>
      </c>
      <c r="BA110" s="77">
        <f t="shared" si="744"/>
        <v>0</v>
      </c>
      <c r="BB110" s="41">
        <f>BB111</f>
        <v>0</v>
      </c>
      <c r="BC110" s="77">
        <f t="shared" si="744"/>
        <v>0</v>
      </c>
      <c r="BD110" s="41">
        <f t="shared" ref="BD110" si="745">BD111</f>
        <v>360846.07999999996</v>
      </c>
      <c r="BE110" s="77">
        <f t="shared" ref="BE110" si="746">BD110/$AA110</f>
        <v>0.48959759496954192</v>
      </c>
    </row>
    <row r="111" spans="1:57" x14ac:dyDescent="0.25">
      <c r="A111" s="58" t="s">
        <v>73</v>
      </c>
      <c r="B111" s="59">
        <v>521000.00233066658</v>
      </c>
      <c r="C111" s="42">
        <v>54166.666666666664</v>
      </c>
      <c r="D111" s="42">
        <f>SUM(D112:D127)</f>
        <v>614000</v>
      </c>
      <c r="E111" s="35">
        <f t="shared" si="550"/>
        <v>0.17850287380672314</v>
      </c>
      <c r="F111" s="42">
        <f t="shared" ref="F111:L111" si="747">SUM(F112:F127)</f>
        <v>34689.06</v>
      </c>
      <c r="G111" s="42">
        <f t="shared" si="747"/>
        <v>41927.46</v>
      </c>
      <c r="H111" s="42">
        <f t="shared" si="747"/>
        <v>49903.519999999997</v>
      </c>
      <c r="I111" s="42">
        <f t="shared" si="747"/>
        <v>55389.36</v>
      </c>
      <c r="J111" s="42">
        <f t="shared" si="747"/>
        <v>35403.779999999992</v>
      </c>
      <c r="K111" s="42">
        <f t="shared" si="747"/>
        <v>39675.679999999993</v>
      </c>
      <c r="L111" s="42">
        <f t="shared" si="747"/>
        <v>50014.86</v>
      </c>
      <c r="M111" s="78">
        <f t="shared" si="455"/>
        <v>0.92335126153846159</v>
      </c>
      <c r="N111" s="42">
        <f>SUM(N112:N127)</f>
        <v>83042.289999999994</v>
      </c>
      <c r="O111" s="78">
        <f t="shared" si="484"/>
        <v>1.5330884307692307</v>
      </c>
      <c r="P111" s="42">
        <f>SUM(P112:P127)</f>
        <v>47431.19</v>
      </c>
      <c r="Q111" s="78">
        <f t="shared" si="475"/>
        <v>0.87565273846153857</v>
      </c>
      <c r="R111" s="42">
        <f>SUM(R112:R127)</f>
        <v>0</v>
      </c>
      <c r="S111" s="42">
        <f>SUM(S112:S127)</f>
        <v>0</v>
      </c>
      <c r="T111" s="42">
        <f>SUM(T112:T127)</f>
        <v>0</v>
      </c>
      <c r="U111" s="78">
        <f t="shared" si="476"/>
        <v>0</v>
      </c>
      <c r="V111" s="42">
        <f>SUM(V112:V127)</f>
        <v>437477.19999999995</v>
      </c>
      <c r="W111" s="78">
        <f t="shared" si="456"/>
        <v>0.71250358306188921</v>
      </c>
      <c r="X111" s="42">
        <f t="shared" si="477"/>
        <v>48608.577777777769</v>
      </c>
      <c r="Y111" s="42">
        <f>SUM(Y112:Y127)</f>
        <v>51525.092444444424</v>
      </c>
      <c r="Z111" s="42">
        <v>53469.435555555552</v>
      </c>
      <c r="AA111" s="42">
        <f>SUM(AA112:AA127)</f>
        <v>737025.84266666661</v>
      </c>
      <c r="AB111" s="81">
        <f t="shared" si="503"/>
        <v>60162.78</v>
      </c>
      <c r="AF111" s="42">
        <f>SUM(AF112:AF127)</f>
        <v>64496.98</v>
      </c>
      <c r="AG111" s="78">
        <f t="shared" si="493"/>
        <v>8.7509794455294207E-2</v>
      </c>
      <c r="AH111" s="42">
        <f>SUM(AH112:AH127)</f>
        <v>57243.659999999996</v>
      </c>
      <c r="AI111" s="78">
        <f t="shared" si="493"/>
        <v>7.7668457042000205E-2</v>
      </c>
      <c r="AJ111" s="42">
        <f>SUM(AJ112:AJ127)</f>
        <v>31632.78</v>
      </c>
      <c r="AK111" s="78">
        <f t="shared" ref="AK111:AM111" si="748">AJ111/$AA111</f>
        <v>4.2919499112199382E-2</v>
      </c>
      <c r="AL111" s="42">
        <f>SUM(AL112:AL127)</f>
        <v>28947.930000000004</v>
      </c>
      <c r="AM111" s="78">
        <f t="shared" si="748"/>
        <v>3.9276682477322897E-2</v>
      </c>
      <c r="AN111" s="42">
        <f>SUM(AN112:AN127)</f>
        <v>27765.49</v>
      </c>
      <c r="AO111" s="78">
        <f t="shared" ref="AO111:AQ111" si="749">AN111/$AA111</f>
        <v>3.7672342532170139E-2</v>
      </c>
      <c r="AP111" s="42">
        <f>SUM(AP112:AP127)</f>
        <v>30695.420000000002</v>
      </c>
      <c r="AQ111" s="78">
        <f t="shared" si="749"/>
        <v>4.1647684820574966E-2</v>
      </c>
      <c r="AR111" s="42">
        <f>SUM(AR112:AR127)</f>
        <v>40165.550000000003</v>
      </c>
      <c r="AS111" s="78">
        <f t="shared" ref="AS111" si="750">AR111/$AA111</f>
        <v>5.4496800077830657E-2</v>
      </c>
      <c r="AT111" s="42">
        <f>SUM(AT112:AT127)</f>
        <v>51501.040000000008</v>
      </c>
      <c r="AU111" s="78">
        <f t="shared" ref="AU111" si="751">AT111/$AA111</f>
        <v>6.9876844227960533E-2</v>
      </c>
      <c r="AV111" s="42">
        <f>SUM(AV112:AV127)</f>
        <v>28397.23</v>
      </c>
      <c r="AW111" s="78">
        <f t="shared" ref="AW111:BC111" si="752">AV111/$AA111</f>
        <v>3.8529490224189014E-2</v>
      </c>
      <c r="AX111" s="42">
        <f>SUM(AX112:AX127)</f>
        <v>0</v>
      </c>
      <c r="AY111" s="78">
        <f t="shared" si="752"/>
        <v>0</v>
      </c>
      <c r="AZ111" s="42">
        <f>SUM(AZ112:AZ127)</f>
        <v>0</v>
      </c>
      <c r="BA111" s="78">
        <f t="shared" si="752"/>
        <v>0</v>
      </c>
      <c r="BB111" s="42">
        <f>SUM(BB112:BB127)</f>
        <v>0</v>
      </c>
      <c r="BC111" s="78">
        <f t="shared" si="752"/>
        <v>0</v>
      </c>
      <c r="BD111" s="42">
        <f t="shared" ref="BD111" si="753">SUM(BD112:BD127)</f>
        <v>360846.07999999996</v>
      </c>
      <c r="BE111" s="78">
        <f t="shared" ref="BE111" si="754">BD111/$AA111</f>
        <v>0.48959759496954192</v>
      </c>
    </row>
    <row r="112" spans="1:57" x14ac:dyDescent="0.25">
      <c r="A112" s="63" t="s">
        <v>74</v>
      </c>
      <c r="B112" s="54">
        <v>47424</v>
      </c>
      <c r="C112" s="38">
        <v>4000</v>
      </c>
      <c r="D112" s="46">
        <v>48000</v>
      </c>
      <c r="E112" s="35">
        <f t="shared" ref="E112:E139" si="755">IFERROR((D112/B112)-1,0)</f>
        <v>1.2145748987854255E-2</v>
      </c>
      <c r="F112" s="46">
        <v>11252.7</v>
      </c>
      <c r="G112" s="46"/>
      <c r="H112" s="46"/>
      <c r="I112" s="46">
        <v>19440</v>
      </c>
      <c r="J112" s="46"/>
      <c r="K112" s="46">
        <v>3741.79</v>
      </c>
      <c r="L112" s="46">
        <v>16716.25</v>
      </c>
      <c r="M112" s="76">
        <f t="shared" si="455"/>
        <v>4.1790624999999997</v>
      </c>
      <c r="N112" s="46">
        <v>33132.92</v>
      </c>
      <c r="O112" s="76">
        <f t="shared" si="484"/>
        <v>8.2832299999999996</v>
      </c>
      <c r="P112" s="46"/>
      <c r="Q112" s="76">
        <f t="shared" si="475"/>
        <v>0</v>
      </c>
      <c r="R112" s="46"/>
      <c r="S112" s="46"/>
      <c r="T112" s="46"/>
      <c r="U112" s="76">
        <f t="shared" si="476"/>
        <v>0</v>
      </c>
      <c r="V112" s="46">
        <f t="shared" ref="V112:V127" si="756">T112+S112+R112+P112+N112+L112+K112+J112+I112+H112+G112+F112</f>
        <v>84283.659999999989</v>
      </c>
      <c r="W112" s="76">
        <f t="shared" si="456"/>
        <v>1.7559095833333331</v>
      </c>
      <c r="X112" s="46">
        <f t="shared" si="477"/>
        <v>9364.8511111111093</v>
      </c>
      <c r="Y112" s="83">
        <f t="shared" ref="Y112:Y127" si="757">X112+(X112*$Y$2)</f>
        <v>9926.7421777777763</v>
      </c>
      <c r="Z112" s="83">
        <v>10301.33622222222</v>
      </c>
      <c r="AA112" s="83">
        <f t="shared" ref="AA112:AA155" si="758">Z112*12</f>
        <v>123616.03466666664</v>
      </c>
      <c r="AB112" s="81">
        <f t="shared" si="503"/>
        <v>16616.39</v>
      </c>
      <c r="AF112" s="83">
        <v>21215</v>
      </c>
      <c r="AG112" s="103">
        <f t="shared" si="493"/>
        <v>0.17162013048878905</v>
      </c>
      <c r="AH112" s="96">
        <v>18445</v>
      </c>
      <c r="AI112" s="103">
        <f t="shared" si="493"/>
        <v>0.14921203426187668</v>
      </c>
      <c r="AJ112" s="83"/>
      <c r="AK112" s="103">
        <f t="shared" ref="AK112:AM112" si="759">AJ112/$AA112</f>
        <v>0</v>
      </c>
      <c r="AL112" s="83"/>
      <c r="AM112" s="103">
        <f t="shared" si="759"/>
        <v>0</v>
      </c>
      <c r="AN112" s="83"/>
      <c r="AO112" s="103">
        <f t="shared" ref="AO112:AQ112" si="760">AN112/$AA112</f>
        <v>0</v>
      </c>
      <c r="AP112" s="83"/>
      <c r="AQ112" s="103">
        <f t="shared" si="760"/>
        <v>0</v>
      </c>
      <c r="AR112" s="83">
        <v>13758.59</v>
      </c>
      <c r="AS112" s="103">
        <f t="shared" ref="AS112" si="761">AR112/$AA112</f>
        <v>0.11130101395907369</v>
      </c>
      <c r="AT112" s="83">
        <v>18282.400000000001</v>
      </c>
      <c r="AU112" s="103">
        <f t="shared" ref="AU112" si="762">AT112/$AA112</f>
        <v>0.14789667092379152</v>
      </c>
      <c r="AV112" s="83"/>
      <c r="AW112" s="103">
        <f t="shared" ref="AW112:BC112" si="763">AV112/$AA112</f>
        <v>0</v>
      </c>
      <c r="AX112" s="83"/>
      <c r="AY112" s="103">
        <f t="shared" si="763"/>
        <v>0</v>
      </c>
      <c r="AZ112" s="83"/>
      <c r="BA112" s="103">
        <f t="shared" si="763"/>
        <v>0</v>
      </c>
      <c r="BB112" s="83"/>
      <c r="BC112" s="103">
        <f t="shared" si="763"/>
        <v>0</v>
      </c>
      <c r="BD112" s="104">
        <f t="shared" ref="BD112:BD127" si="764">AF112+AH112+AJ112+AL112+AN112+AP112+AR112+AT112+AV112+AX112+AZ112+BB112</f>
        <v>71700.989999999991</v>
      </c>
      <c r="BE112" s="103">
        <f t="shared" ref="BE112" si="765">BD112/$AA112</f>
        <v>0.58002984963353088</v>
      </c>
    </row>
    <row r="113" spans="1:57" x14ac:dyDescent="0.25">
      <c r="A113" s="63" t="s">
        <v>75</v>
      </c>
      <c r="B113" s="54">
        <v>145580.8224</v>
      </c>
      <c r="C113" s="38">
        <v>14500</v>
      </c>
      <c r="D113" s="46">
        <f>C113*12</f>
        <v>174000</v>
      </c>
      <c r="E113" s="35">
        <f t="shared" si="755"/>
        <v>0.19521237159874705</v>
      </c>
      <c r="F113" s="46">
        <f>13055.82-4107.89</f>
        <v>8947.93</v>
      </c>
      <c r="G113" s="46">
        <f>14332.06-4142.69</f>
        <v>10189.369999999999</v>
      </c>
      <c r="H113" s="46">
        <f>16135.48-4138.12</f>
        <v>11997.36</v>
      </c>
      <c r="I113" s="46">
        <f>16830.12-177.6</f>
        <v>16652.52</v>
      </c>
      <c r="J113" s="46">
        <f>20247.44-8827.38</f>
        <v>11420.06</v>
      </c>
      <c r="K113" s="46">
        <f>17178.83-4723.33</f>
        <v>12455.500000000002</v>
      </c>
      <c r="L113" s="46">
        <f>16295.8-4547.24+400</f>
        <v>12148.56</v>
      </c>
      <c r="M113" s="76">
        <f t="shared" si="455"/>
        <v>0.83783172413793094</v>
      </c>
      <c r="N113" s="46">
        <f>16193.94-4225.42</f>
        <v>11968.52</v>
      </c>
      <c r="O113" s="76">
        <f t="shared" si="484"/>
        <v>0.82541517241379314</v>
      </c>
      <c r="P113" s="46">
        <f>18733.77-4498.98</f>
        <v>14234.79</v>
      </c>
      <c r="Q113" s="76">
        <f t="shared" si="475"/>
        <v>0.98170965517241382</v>
      </c>
      <c r="R113" s="46"/>
      <c r="S113" s="46"/>
      <c r="T113" s="46"/>
      <c r="U113" s="76">
        <f t="shared" si="476"/>
        <v>0</v>
      </c>
      <c r="V113" s="46">
        <f t="shared" si="756"/>
        <v>110014.60999999999</v>
      </c>
      <c r="W113" s="76">
        <f t="shared" si="456"/>
        <v>0.63226787356321834</v>
      </c>
      <c r="X113" s="46">
        <f t="shared" si="477"/>
        <v>12223.845555555554</v>
      </c>
      <c r="Y113" s="83">
        <f t="shared" si="757"/>
        <v>12957.276288888886</v>
      </c>
      <c r="Z113" s="83">
        <v>14500</v>
      </c>
      <c r="AA113" s="83">
        <f t="shared" si="758"/>
        <v>174000</v>
      </c>
      <c r="AB113" s="81">
        <f t="shared" si="503"/>
        <v>12783.956666666667</v>
      </c>
      <c r="AF113" s="83">
        <f>17943.04-230.77</f>
        <v>17712.27</v>
      </c>
      <c r="AG113" s="103">
        <f t="shared" si="493"/>
        <v>0.10179465517241379</v>
      </c>
      <c r="AH113" s="96">
        <f>20536.8-4433.59</f>
        <v>16103.21</v>
      </c>
      <c r="AI113" s="103">
        <f t="shared" si="493"/>
        <v>9.2547183908045977E-2</v>
      </c>
      <c r="AJ113" s="83">
        <f>13643.61-8194.77</f>
        <v>5448.84</v>
      </c>
      <c r="AK113" s="103">
        <f t="shared" ref="AK113:AM113" si="766">AJ113/$AA113</f>
        <v>3.1315172413793106E-2</v>
      </c>
      <c r="AL113" s="83">
        <f>13074.92-4248.7</f>
        <v>8826.2200000000012</v>
      </c>
      <c r="AM113" s="103">
        <f t="shared" si="766"/>
        <v>5.0725402298850579E-2</v>
      </c>
      <c r="AN113" s="83">
        <f>13980.1-4000</f>
        <v>9980.1</v>
      </c>
      <c r="AO113" s="103">
        <f t="shared" ref="AO113:AQ113" si="767">AN113/$AA113</f>
        <v>5.7356896551724143E-2</v>
      </c>
      <c r="AP113" s="83">
        <f>14485.92-4003.21</f>
        <v>10482.709999999999</v>
      </c>
      <c r="AQ113" s="103">
        <f t="shared" si="767"/>
        <v>6.0245459770114938E-2</v>
      </c>
      <c r="AR113" s="83">
        <f>12648.54-4018.93</f>
        <v>8629.61</v>
      </c>
      <c r="AS113" s="103">
        <f t="shared" ref="AS113" si="768">AR113/$AA113</f>
        <v>4.9595459770114945E-2</v>
      </c>
      <c r="AT113" s="83">
        <f>13610.33-4006.87</f>
        <v>9603.4599999999991</v>
      </c>
      <c r="AU113" s="103">
        <f t="shared" ref="AU113" si="769">AT113/$AA113</f>
        <v>5.5192298850574709E-2</v>
      </c>
      <c r="AV113" s="83">
        <f>14540.91-4010.99</f>
        <v>10529.92</v>
      </c>
      <c r="AW113" s="103">
        <f t="shared" ref="AW113:BC113" si="770">AV113/$AA113</f>
        <v>6.0516781609195401E-2</v>
      </c>
      <c r="AX113" s="83"/>
      <c r="AY113" s="103">
        <f t="shared" si="770"/>
        <v>0</v>
      </c>
      <c r="AZ113" s="83"/>
      <c r="BA113" s="103">
        <f t="shared" si="770"/>
        <v>0</v>
      </c>
      <c r="BB113" s="83"/>
      <c r="BC113" s="103">
        <f t="shared" si="770"/>
        <v>0</v>
      </c>
      <c r="BD113" s="104">
        <f t="shared" si="764"/>
        <v>97316.339999999982</v>
      </c>
      <c r="BE113" s="103">
        <f t="shared" ref="BE113" si="771">BD113/$AA113</f>
        <v>0.55928931034482743</v>
      </c>
    </row>
    <row r="114" spans="1:57" x14ac:dyDescent="0.25">
      <c r="A114" s="63" t="s">
        <v>31</v>
      </c>
      <c r="B114" s="54">
        <v>73279.814400000003</v>
      </c>
      <c r="C114" s="38">
        <v>6650</v>
      </c>
      <c r="D114" s="46">
        <f t="shared" ref="D114:D119" si="772">C114*12</f>
        <v>79800</v>
      </c>
      <c r="E114" s="35">
        <f t="shared" si="755"/>
        <v>8.8976557233201747E-2</v>
      </c>
      <c r="F114" s="46">
        <f>3774.16+1184.05+184.3</f>
        <v>5142.51</v>
      </c>
      <c r="G114" s="46">
        <f>3618.28+1135.14+178.47</f>
        <v>4931.8900000000003</v>
      </c>
      <c r="H114" s="46">
        <f>4079.33+1279.79+201.44</f>
        <v>5560.5599999999995</v>
      </c>
      <c r="I114" s="46">
        <f>4246.39+1332.2+209.36</f>
        <v>5787.95</v>
      </c>
      <c r="J114" s="46">
        <f>5163.09+1619.86+267.8</f>
        <v>7050.75</v>
      </c>
      <c r="K114" s="46">
        <f>4468.07+1401.73+193.55</f>
        <v>6063.3499999999995</v>
      </c>
      <c r="L114" s="46">
        <f>5848.97+1834.95+248.21</f>
        <v>7932.13</v>
      </c>
      <c r="M114" s="76">
        <f t="shared" si="455"/>
        <v>1.1928015037593984</v>
      </c>
      <c r="N114" s="46">
        <f>4290.32+1345.97+211.84</f>
        <v>5848.13</v>
      </c>
      <c r="O114" s="76">
        <f t="shared" si="484"/>
        <v>0.87941804511278199</v>
      </c>
      <c r="P114" s="46">
        <f>4777.03+1498.67+232.25</f>
        <v>6507.95</v>
      </c>
      <c r="Q114" s="76">
        <f t="shared" si="475"/>
        <v>0.97863909774436086</v>
      </c>
      <c r="R114" s="46"/>
      <c r="S114" s="46"/>
      <c r="T114" s="46"/>
      <c r="U114" s="76">
        <f t="shared" si="476"/>
        <v>0</v>
      </c>
      <c r="V114" s="46">
        <f t="shared" si="756"/>
        <v>54825.219999999994</v>
      </c>
      <c r="W114" s="76">
        <f t="shared" si="456"/>
        <v>0.68703283208020038</v>
      </c>
      <c r="X114" s="46">
        <f t="shared" si="477"/>
        <v>6091.6911111111103</v>
      </c>
      <c r="Y114" s="83">
        <f t="shared" si="757"/>
        <v>6457.1925777777769</v>
      </c>
      <c r="Z114" s="83">
        <v>6650</v>
      </c>
      <c r="AA114" s="83">
        <f t="shared" si="758"/>
        <v>79800</v>
      </c>
      <c r="AB114" s="81">
        <f t="shared" si="503"/>
        <v>6762.7366666666667</v>
      </c>
      <c r="AF114" s="83">
        <f>6616.83+2075.85+281.7-137.11</f>
        <v>8837.27</v>
      </c>
      <c r="AG114" s="103">
        <f t="shared" si="493"/>
        <v>0.11074273182957393</v>
      </c>
      <c r="AH114" s="96">
        <f>5156.39+1617.68+252.53</f>
        <v>7026.6</v>
      </c>
      <c r="AI114" s="103">
        <f t="shared" si="493"/>
        <v>8.8052631578947368E-2</v>
      </c>
      <c r="AJ114" s="83">
        <f>1082.79+146.85+3451.43-23.79</f>
        <v>4657.28</v>
      </c>
      <c r="AK114" s="103">
        <f t="shared" ref="AK114:AM114" si="773">AJ114/$AA114</f>
        <v>5.8361904761904761E-2</v>
      </c>
      <c r="AL114" s="83">
        <f>4440.75+1026.09+128.26</f>
        <v>5595.1</v>
      </c>
      <c r="AM114" s="103">
        <f t="shared" si="773"/>
        <v>7.0114035087719309E-2</v>
      </c>
      <c r="AN114" s="83">
        <f>3562.53+1493.62+139.71</f>
        <v>5195.8599999999997</v>
      </c>
      <c r="AO114" s="103">
        <f t="shared" ref="AO114:AQ114" si="774">AN114/$AA114</f>
        <v>6.51110275689223E-2</v>
      </c>
      <c r="AP114" s="83">
        <f>17914.49-11006.56+5620.21-3453.04+144.68</f>
        <v>9219.7800000000025</v>
      </c>
      <c r="AQ114" s="103">
        <f t="shared" si="774"/>
        <v>0.11553609022556394</v>
      </c>
      <c r="AR114" s="83">
        <f>5222.73+1600.85+200.1</f>
        <v>7023.68</v>
      </c>
      <c r="AS114" s="103">
        <f t="shared" ref="AS114" si="775">AR114/$AA114</f>
        <v>8.8016040100250631E-2</v>
      </c>
      <c r="AT114" s="83">
        <f>3470.17+1088.69+136.09</f>
        <v>4694.9500000000007</v>
      </c>
      <c r="AU114" s="103">
        <f t="shared" ref="AU114" si="776">AT114/$AA114</f>
        <v>5.8833959899749384E-2</v>
      </c>
      <c r="AV114" s="83">
        <f>3705.51+1162.5+145.31</f>
        <v>5013.3200000000006</v>
      </c>
      <c r="AW114" s="103">
        <f t="shared" ref="AW114:BC114" si="777">AV114/$AA114</f>
        <v>6.2823558897243115E-2</v>
      </c>
      <c r="AX114" s="83"/>
      <c r="AY114" s="103">
        <f t="shared" si="777"/>
        <v>0</v>
      </c>
      <c r="AZ114" s="83"/>
      <c r="BA114" s="103">
        <f t="shared" si="777"/>
        <v>0</v>
      </c>
      <c r="BB114" s="83"/>
      <c r="BC114" s="103">
        <f t="shared" si="777"/>
        <v>0</v>
      </c>
      <c r="BD114" s="104">
        <f t="shared" si="764"/>
        <v>57263.840000000004</v>
      </c>
      <c r="BE114" s="103">
        <f t="shared" ref="BE114" si="778">BD114/$AA114</f>
        <v>0.71759197994987478</v>
      </c>
    </row>
    <row r="115" spans="1:57" x14ac:dyDescent="0.25">
      <c r="A115" s="63" t="s">
        <v>76</v>
      </c>
      <c r="B115" s="54">
        <v>18404.5056</v>
      </c>
      <c r="C115" s="38">
        <v>2075</v>
      </c>
      <c r="D115" s="46">
        <f t="shared" si="772"/>
        <v>24900</v>
      </c>
      <c r="E115" s="35">
        <f t="shared" si="755"/>
        <v>0.35292957828761229</v>
      </c>
      <c r="F115" s="46"/>
      <c r="G115" s="46"/>
      <c r="H115" s="46"/>
      <c r="I115" s="46"/>
      <c r="J115" s="46"/>
      <c r="K115" s="46"/>
      <c r="L115" s="46"/>
      <c r="M115" s="76">
        <f t="shared" si="455"/>
        <v>0</v>
      </c>
      <c r="N115" s="46"/>
      <c r="O115" s="76">
        <f t="shared" si="484"/>
        <v>0</v>
      </c>
      <c r="P115" s="46"/>
      <c r="Q115" s="76">
        <f t="shared" si="475"/>
        <v>0</v>
      </c>
      <c r="R115" s="46"/>
      <c r="S115" s="46"/>
      <c r="T115" s="46"/>
      <c r="U115" s="76" t="e">
        <f t="shared" si="476"/>
        <v>#DIV/0!</v>
      </c>
      <c r="V115" s="46">
        <f t="shared" si="756"/>
        <v>0</v>
      </c>
      <c r="W115" s="76">
        <f t="shared" si="456"/>
        <v>0</v>
      </c>
      <c r="X115" s="46">
        <f t="shared" si="477"/>
        <v>0</v>
      </c>
      <c r="Y115" s="83">
        <f t="shared" si="757"/>
        <v>0</v>
      </c>
      <c r="Z115" s="83">
        <v>2075</v>
      </c>
      <c r="AA115" s="83">
        <f t="shared" si="758"/>
        <v>24900</v>
      </c>
      <c r="AB115" s="81">
        <f t="shared" si="503"/>
        <v>0</v>
      </c>
      <c r="AF115" s="83"/>
      <c r="AG115" s="103">
        <f t="shared" si="493"/>
        <v>0</v>
      </c>
      <c r="AH115" s="96"/>
      <c r="AI115" s="103">
        <f t="shared" si="493"/>
        <v>0</v>
      </c>
      <c r="AJ115" s="83">
        <v>557.6</v>
      </c>
      <c r="AK115" s="103">
        <f t="shared" ref="AK115:AM115" si="779">AJ115/$AA115</f>
        <v>2.2393574297188756E-2</v>
      </c>
      <c r="AL115" s="83"/>
      <c r="AM115" s="103">
        <f t="shared" si="779"/>
        <v>0</v>
      </c>
      <c r="AN115" s="83"/>
      <c r="AO115" s="103">
        <f t="shared" ref="AO115:AQ115" si="780">AN115/$AA115</f>
        <v>0</v>
      </c>
      <c r="AP115" s="83"/>
      <c r="AQ115" s="103">
        <f t="shared" si="780"/>
        <v>0</v>
      </c>
      <c r="AR115" s="83"/>
      <c r="AS115" s="103">
        <f t="shared" ref="AS115" si="781">AR115/$AA115</f>
        <v>0</v>
      </c>
      <c r="AT115" s="83"/>
      <c r="AU115" s="103">
        <f t="shared" ref="AU115" si="782">AT115/$AA115</f>
        <v>0</v>
      </c>
      <c r="AV115" s="83"/>
      <c r="AW115" s="103">
        <f t="shared" ref="AW115:BC115" si="783">AV115/$AA115</f>
        <v>0</v>
      </c>
      <c r="AX115" s="83"/>
      <c r="AY115" s="103">
        <f t="shared" si="783"/>
        <v>0</v>
      </c>
      <c r="AZ115" s="83"/>
      <c r="BA115" s="103">
        <f t="shared" si="783"/>
        <v>0</v>
      </c>
      <c r="BB115" s="83"/>
      <c r="BC115" s="103">
        <f t="shared" si="783"/>
        <v>0</v>
      </c>
      <c r="BD115" s="104">
        <f t="shared" si="764"/>
        <v>557.6</v>
      </c>
      <c r="BE115" s="103">
        <f t="shared" ref="BE115" si="784">BD115/$AA115</f>
        <v>2.2393574297188756E-2</v>
      </c>
    </row>
    <row r="116" spans="1:57" x14ac:dyDescent="0.25">
      <c r="A116" s="63" t="s">
        <v>77</v>
      </c>
      <c r="B116" s="54">
        <v>20841.599999999999</v>
      </c>
      <c r="C116" s="38">
        <v>200</v>
      </c>
      <c r="D116" s="46">
        <f t="shared" si="772"/>
        <v>2400</v>
      </c>
      <c r="E116" s="35">
        <f t="shared" si="755"/>
        <v>-0.88484569322892681</v>
      </c>
      <c r="F116" s="46"/>
      <c r="G116" s="46">
        <v>11160</v>
      </c>
      <c r="H116" s="46"/>
      <c r="I116" s="46"/>
      <c r="J116" s="46"/>
      <c r="K116" s="46"/>
      <c r="L116" s="46"/>
      <c r="M116" s="76">
        <f t="shared" si="455"/>
        <v>0</v>
      </c>
      <c r="N116" s="46"/>
      <c r="O116" s="76">
        <f t="shared" si="484"/>
        <v>0</v>
      </c>
      <c r="P116" s="46">
        <v>8080</v>
      </c>
      <c r="Q116" s="76">
        <f t="shared" si="475"/>
        <v>40.4</v>
      </c>
      <c r="R116" s="46"/>
      <c r="S116" s="46"/>
      <c r="T116" s="46"/>
      <c r="U116" s="76" t="e">
        <f t="shared" si="476"/>
        <v>#DIV/0!</v>
      </c>
      <c r="V116" s="46">
        <f t="shared" si="756"/>
        <v>19240</v>
      </c>
      <c r="W116" s="76">
        <f t="shared" si="456"/>
        <v>8.0166666666666675</v>
      </c>
      <c r="X116" s="46">
        <f t="shared" si="477"/>
        <v>2137.7777777777778</v>
      </c>
      <c r="Y116" s="83">
        <f t="shared" si="757"/>
        <v>2266.0444444444447</v>
      </c>
      <c r="Z116" s="83">
        <v>2351.5555555555557</v>
      </c>
      <c r="AA116" s="83">
        <f t="shared" si="758"/>
        <v>28218.666666666668</v>
      </c>
      <c r="AB116" s="81">
        <f t="shared" si="503"/>
        <v>2693.3333333333335</v>
      </c>
      <c r="AF116" s="83"/>
      <c r="AG116" s="103">
        <f t="shared" si="493"/>
        <v>0</v>
      </c>
      <c r="AH116" s="96"/>
      <c r="AI116" s="103">
        <f t="shared" si="493"/>
        <v>0</v>
      </c>
      <c r="AJ116" s="83"/>
      <c r="AK116" s="103">
        <f t="shared" ref="AK116:AM116" si="785">AJ116/$AA116</f>
        <v>0</v>
      </c>
      <c r="AL116" s="83"/>
      <c r="AM116" s="103">
        <f t="shared" si="785"/>
        <v>0</v>
      </c>
      <c r="AN116" s="83"/>
      <c r="AO116" s="103">
        <f t="shared" ref="AO116:AQ116" si="786">AN116/$AA116</f>
        <v>0</v>
      </c>
      <c r="AP116" s="83"/>
      <c r="AQ116" s="103">
        <f t="shared" si="786"/>
        <v>0</v>
      </c>
      <c r="AR116" s="83"/>
      <c r="AS116" s="103">
        <f t="shared" ref="AS116" si="787">AR116/$AA116</f>
        <v>0</v>
      </c>
      <c r="AT116" s="83"/>
      <c r="AU116" s="103">
        <f t="shared" ref="AU116" si="788">AT116/$AA116</f>
        <v>0</v>
      </c>
      <c r="AV116" s="83"/>
      <c r="AW116" s="103">
        <f t="shared" ref="AW116:BC116" si="789">AV116/$AA116</f>
        <v>0</v>
      </c>
      <c r="AX116" s="83"/>
      <c r="AY116" s="103">
        <f t="shared" si="789"/>
        <v>0</v>
      </c>
      <c r="AZ116" s="83"/>
      <c r="BA116" s="103">
        <f t="shared" si="789"/>
        <v>0</v>
      </c>
      <c r="BB116" s="83"/>
      <c r="BC116" s="103">
        <f t="shared" si="789"/>
        <v>0</v>
      </c>
      <c r="BD116" s="104">
        <f t="shared" si="764"/>
        <v>0</v>
      </c>
      <c r="BE116" s="103">
        <f t="shared" ref="BE116" si="790">BD116/$AA116</f>
        <v>0</v>
      </c>
    </row>
    <row r="117" spans="1:57" x14ac:dyDescent="0.25">
      <c r="A117" s="63" t="s">
        <v>78</v>
      </c>
      <c r="B117" s="54">
        <v>29935.290666666668</v>
      </c>
      <c r="C117" s="38">
        <v>695</v>
      </c>
      <c r="D117" s="46">
        <f t="shared" si="772"/>
        <v>8340</v>
      </c>
      <c r="E117" s="35">
        <f t="shared" si="755"/>
        <v>-0.72139906397211973</v>
      </c>
      <c r="F117" s="46">
        <v>1852.73</v>
      </c>
      <c r="G117" s="46"/>
      <c r="H117" s="46"/>
      <c r="I117" s="46"/>
      <c r="J117" s="46"/>
      <c r="K117" s="46">
        <v>343.03</v>
      </c>
      <c r="L117" s="46">
        <v>6319.61</v>
      </c>
      <c r="M117" s="76">
        <f t="shared" si="455"/>
        <v>9.0929640287769775</v>
      </c>
      <c r="N117" s="46">
        <v>230.88</v>
      </c>
      <c r="O117" s="76">
        <f t="shared" si="484"/>
        <v>0.33220143884892084</v>
      </c>
      <c r="P117" s="46"/>
      <c r="Q117" s="76">
        <f t="shared" si="475"/>
        <v>0</v>
      </c>
      <c r="R117" s="46"/>
      <c r="S117" s="46"/>
      <c r="T117" s="46"/>
      <c r="U117" s="76" t="e">
        <f t="shared" si="476"/>
        <v>#DIV/0!</v>
      </c>
      <c r="V117" s="46">
        <f t="shared" si="756"/>
        <v>8746.25</v>
      </c>
      <c r="W117" s="76">
        <f t="shared" si="456"/>
        <v>1.04871103117506</v>
      </c>
      <c r="X117" s="46">
        <f t="shared" si="477"/>
        <v>971.80555555555554</v>
      </c>
      <c r="Y117" s="83">
        <f t="shared" si="757"/>
        <v>1030.1138888888888</v>
      </c>
      <c r="Z117" s="83">
        <v>750</v>
      </c>
      <c r="AA117" s="83">
        <f t="shared" si="758"/>
        <v>9000</v>
      </c>
      <c r="AB117" s="81">
        <f t="shared" si="503"/>
        <v>2183.4966666666664</v>
      </c>
      <c r="AF117" s="83">
        <v>12176.6</v>
      </c>
      <c r="AG117" s="103">
        <f t="shared" si="493"/>
        <v>1.3529555555555557</v>
      </c>
      <c r="AH117" s="96">
        <v>673.69</v>
      </c>
      <c r="AI117" s="103">
        <f t="shared" si="493"/>
        <v>7.4854444444444446E-2</v>
      </c>
      <c r="AJ117" s="83">
        <v>4983.2</v>
      </c>
      <c r="AK117" s="103">
        <f t="shared" ref="AK117:AM117" si="791">AJ117/$AA117</f>
        <v>0.5536888888888889</v>
      </c>
      <c r="AL117" s="83"/>
      <c r="AM117" s="103">
        <f t="shared" si="791"/>
        <v>0</v>
      </c>
      <c r="AN117" s="83"/>
      <c r="AO117" s="103">
        <f t="shared" ref="AO117:AQ117" si="792">AN117/$AA117</f>
        <v>0</v>
      </c>
      <c r="AP117" s="83"/>
      <c r="AQ117" s="103">
        <f t="shared" si="792"/>
        <v>0</v>
      </c>
      <c r="AR117" s="83">
        <v>7404.48</v>
      </c>
      <c r="AS117" s="103">
        <f t="shared" ref="AS117" si="793">AR117/$AA117</f>
        <v>0.82272000000000001</v>
      </c>
      <c r="AT117" s="83"/>
      <c r="AU117" s="103">
        <f t="shared" ref="AU117" si="794">AT117/$AA117</f>
        <v>0</v>
      </c>
      <c r="AV117" s="83"/>
      <c r="AW117" s="103">
        <f t="shared" ref="AW117:BC117" si="795">AV117/$AA117</f>
        <v>0</v>
      </c>
      <c r="AX117" s="83"/>
      <c r="AY117" s="103">
        <f t="shared" si="795"/>
        <v>0</v>
      </c>
      <c r="AZ117" s="83"/>
      <c r="BA117" s="103">
        <f t="shared" si="795"/>
        <v>0</v>
      </c>
      <c r="BB117" s="83"/>
      <c r="BC117" s="103">
        <f t="shared" si="795"/>
        <v>0</v>
      </c>
      <c r="BD117" s="104">
        <f t="shared" si="764"/>
        <v>25237.97</v>
      </c>
      <c r="BE117" s="103">
        <f t="shared" ref="BE117" si="796">BD117/$AA117</f>
        <v>2.8042188888888888</v>
      </c>
    </row>
    <row r="118" spans="1:57" x14ac:dyDescent="0.25">
      <c r="A118" s="63" t="s">
        <v>32</v>
      </c>
      <c r="B118" s="54">
        <v>16793.990000000002</v>
      </c>
      <c r="C118" s="38">
        <v>1450</v>
      </c>
      <c r="D118" s="46">
        <f t="shared" si="772"/>
        <v>17400</v>
      </c>
      <c r="E118" s="35">
        <f t="shared" si="755"/>
        <v>3.6084932764637756E-2</v>
      </c>
      <c r="F118" s="46"/>
      <c r="G118" s="46"/>
      <c r="H118" s="46"/>
      <c r="I118" s="46"/>
      <c r="J118" s="46"/>
      <c r="K118" s="46"/>
      <c r="L118" s="46"/>
      <c r="M118" s="76">
        <f t="shared" si="455"/>
        <v>0</v>
      </c>
      <c r="N118" s="46"/>
      <c r="O118" s="76">
        <f t="shared" si="484"/>
        <v>0</v>
      </c>
      <c r="P118" s="46"/>
      <c r="Q118" s="76">
        <f t="shared" si="475"/>
        <v>0</v>
      </c>
      <c r="R118" s="46"/>
      <c r="S118" s="46"/>
      <c r="T118" s="46"/>
      <c r="U118" s="76" t="e">
        <f t="shared" si="476"/>
        <v>#DIV/0!</v>
      </c>
      <c r="V118" s="46">
        <f t="shared" si="756"/>
        <v>0</v>
      </c>
      <c r="W118" s="76">
        <f t="shared" si="456"/>
        <v>0</v>
      </c>
      <c r="X118" s="46">
        <f t="shared" si="477"/>
        <v>0</v>
      </c>
      <c r="Y118" s="83">
        <f t="shared" si="757"/>
        <v>0</v>
      </c>
      <c r="Z118" s="83">
        <v>1450</v>
      </c>
      <c r="AA118" s="83">
        <f t="shared" si="758"/>
        <v>17400</v>
      </c>
      <c r="AB118" s="81">
        <f t="shared" si="503"/>
        <v>0</v>
      </c>
      <c r="AF118" s="83"/>
      <c r="AG118" s="103">
        <f t="shared" si="493"/>
        <v>0</v>
      </c>
      <c r="AH118" s="96"/>
      <c r="AI118" s="103">
        <f t="shared" si="493"/>
        <v>0</v>
      </c>
      <c r="AJ118" s="83"/>
      <c r="AK118" s="103">
        <f t="shared" ref="AK118:AM118" si="797">AJ118/$AA118</f>
        <v>0</v>
      </c>
      <c r="AL118" s="83"/>
      <c r="AM118" s="103">
        <f t="shared" si="797"/>
        <v>0</v>
      </c>
      <c r="AN118" s="83"/>
      <c r="AO118" s="103">
        <f t="shared" ref="AO118:AQ118" si="798">AN118/$AA118</f>
        <v>0</v>
      </c>
      <c r="AP118" s="83"/>
      <c r="AQ118" s="103">
        <f t="shared" si="798"/>
        <v>0</v>
      </c>
      <c r="AR118" s="83"/>
      <c r="AS118" s="103">
        <f t="shared" ref="AS118" si="799">AR118/$AA118</f>
        <v>0</v>
      </c>
      <c r="AT118" s="83"/>
      <c r="AU118" s="103">
        <f t="shared" ref="AU118" si="800">AT118/$AA118</f>
        <v>0</v>
      </c>
      <c r="AV118" s="83"/>
      <c r="AW118" s="103">
        <f t="shared" ref="AW118:BC118" si="801">AV118/$AA118</f>
        <v>0</v>
      </c>
      <c r="AX118" s="83"/>
      <c r="AY118" s="103">
        <f t="shared" si="801"/>
        <v>0</v>
      </c>
      <c r="AZ118" s="83"/>
      <c r="BA118" s="103">
        <f t="shared" si="801"/>
        <v>0</v>
      </c>
      <c r="BB118" s="83"/>
      <c r="BC118" s="103">
        <f t="shared" si="801"/>
        <v>0</v>
      </c>
      <c r="BD118" s="104">
        <f t="shared" si="764"/>
        <v>0</v>
      </c>
      <c r="BE118" s="103">
        <f t="shared" ref="BE118" si="802">BD118/$AA118</f>
        <v>0</v>
      </c>
    </row>
    <row r="119" spans="1:57" ht="15" customHeight="1" x14ac:dyDescent="0.25">
      <c r="A119" s="63" t="s">
        <v>79</v>
      </c>
      <c r="B119" s="54">
        <v>42304.952490666677</v>
      </c>
      <c r="C119" s="38">
        <v>3500</v>
      </c>
      <c r="D119" s="46">
        <f t="shared" si="772"/>
        <v>42000</v>
      </c>
      <c r="E119" s="35">
        <f t="shared" si="755"/>
        <v>-7.2084347744855171E-3</v>
      </c>
      <c r="F119" s="46">
        <f>586.88+766.42-159.84+652.2-8+441.68+1378-8</f>
        <v>3649.34</v>
      </c>
      <c r="G119" s="46">
        <f>586.88+785.76-159.84+726-10+462.65+1456-10</f>
        <v>3837.45</v>
      </c>
      <c r="H119" s="46">
        <f>586.88+529.25-159.84+848.84-12+462.65+2288-12</f>
        <v>4531.7800000000007</v>
      </c>
      <c r="I119" s="46">
        <f>586.88+237.31-159.84+790.08-10+535.02+2080-10</f>
        <v>4049.45</v>
      </c>
      <c r="J119" s="46">
        <f>586.88+799.56-166.86+794.82-12+1872-12+535.02</f>
        <v>4397.42</v>
      </c>
      <c r="K119" s="46">
        <f>586.88+867.17-166.86+788.34-12+535.02+2028-12</f>
        <v>4614.55</v>
      </c>
      <c r="L119" s="46">
        <f>586.88+541.1-166.86+788.34-12+535.02+1961.06-12</f>
        <v>4221.54</v>
      </c>
      <c r="M119" s="76">
        <f t="shared" si="455"/>
        <v>1.2061542857142857</v>
      </c>
      <c r="N119" s="46">
        <f>586.88+336.18-166.86+788.34-12+529.94+2106-12</f>
        <v>4156.4799999999996</v>
      </c>
      <c r="O119" s="76">
        <f t="shared" si="484"/>
        <v>1.1875657142857141</v>
      </c>
      <c r="P119" s="46">
        <f>586.88+788.34-12+555.18+1933.06-12</f>
        <v>3839.46</v>
      </c>
      <c r="Q119" s="76">
        <f t="shared" si="475"/>
        <v>1.0969885714285714</v>
      </c>
      <c r="R119" s="46"/>
      <c r="S119" s="46"/>
      <c r="T119" s="46"/>
      <c r="U119" s="76">
        <f t="shared" si="476"/>
        <v>0</v>
      </c>
      <c r="V119" s="46">
        <f t="shared" si="756"/>
        <v>37297.47</v>
      </c>
      <c r="W119" s="76">
        <f t="shared" si="456"/>
        <v>0.88803500000000002</v>
      </c>
      <c r="X119" s="46">
        <f t="shared" si="477"/>
        <v>4144.1633333333339</v>
      </c>
      <c r="Y119" s="83">
        <f t="shared" si="757"/>
        <v>4392.813133333334</v>
      </c>
      <c r="Z119" s="83">
        <v>4558.5796666666674</v>
      </c>
      <c r="AA119" s="83">
        <f t="shared" si="758"/>
        <v>54702.956000000006</v>
      </c>
      <c r="AB119" s="81">
        <f t="shared" si="503"/>
        <v>4072.4933333333333</v>
      </c>
      <c r="AF119" s="83">
        <f>627.1+227.67-176.88+962.34-10+564.15+1597.9-10</f>
        <v>3782.28</v>
      </c>
      <c r="AG119" s="103">
        <f t="shared" si="493"/>
        <v>6.9142150197514005E-2</v>
      </c>
      <c r="AH119" s="96">
        <f>627.1+227.31-176.88+962.34-6+564.15+2011.15-6</f>
        <v>4203.17</v>
      </c>
      <c r="AI119" s="103">
        <f t="shared" si="493"/>
        <v>7.6836249945980969E-2</v>
      </c>
      <c r="AJ119" s="83">
        <f>627.1-222.18+805.7-6+564.15+1212.2-872.3</f>
        <v>2108.67</v>
      </c>
      <c r="AK119" s="103">
        <f t="shared" ref="AK119:AM119" si="803">AJ119/$AA119</f>
        <v>3.8547642653899726E-2</v>
      </c>
      <c r="AL119" s="83">
        <f>627.1+805.7-4+517.14+1212.2-4</f>
        <v>3154.1400000000003</v>
      </c>
      <c r="AM119" s="103">
        <f t="shared" si="803"/>
        <v>5.7659406924920109E-2</v>
      </c>
      <c r="AN119" s="83">
        <f>627.1+805.7-8+449.22+1212.2-8</f>
        <v>3078.2200000000003</v>
      </c>
      <c r="AO119" s="103">
        <f t="shared" ref="AO119:AQ119" si="804">AN119/$AA119</f>
        <v>5.6271547738663337E-2</v>
      </c>
      <c r="AP119" s="83">
        <f>627.1+805.7-10+477.57+1212.2-8</f>
        <v>3104.57</v>
      </c>
      <c r="AQ119" s="103">
        <f t="shared" si="804"/>
        <v>5.6753240172249558E-2</v>
      </c>
      <c r="AR119" s="83">
        <f>805.7-10+475.23+1267.3-10</f>
        <v>2528.23</v>
      </c>
      <c r="AS119" s="103">
        <f t="shared" ref="AS119" si="805">AR119/$AA119</f>
        <v>4.6217429273840337E-2</v>
      </c>
      <c r="AT119" s="83">
        <f>1150.62-10+455.31+2230.6-10</f>
        <v>3816.5299999999997</v>
      </c>
      <c r="AU119" s="103">
        <f t="shared" ref="AU119" si="806">AT119/$AA119</f>
        <v>6.976825895843726E-2</v>
      </c>
      <c r="AV119" s="83">
        <f>679.98+212.52+900+786.77+1790.75</f>
        <v>4370.0200000000004</v>
      </c>
      <c r="AW119" s="103">
        <f t="shared" ref="AW119:BC119" si="807">AV119/$AA119</f>
        <v>7.9886359340434906E-2</v>
      </c>
      <c r="AX119" s="83"/>
      <c r="AY119" s="103">
        <f t="shared" si="807"/>
        <v>0</v>
      </c>
      <c r="AZ119" s="83"/>
      <c r="BA119" s="103">
        <f t="shared" si="807"/>
        <v>0</v>
      </c>
      <c r="BB119" s="83"/>
      <c r="BC119" s="103">
        <f t="shared" si="807"/>
        <v>0</v>
      </c>
      <c r="BD119" s="104">
        <f t="shared" si="764"/>
        <v>30145.83</v>
      </c>
      <c r="BE119" s="103">
        <f t="shared" ref="BE119" si="808">BD119/$AA119</f>
        <v>0.55108228520594027</v>
      </c>
    </row>
    <row r="120" spans="1:57" ht="15" customHeight="1" x14ac:dyDescent="0.25">
      <c r="A120" s="63" t="s">
        <v>180</v>
      </c>
      <c r="B120" s="54">
        <v>30447.934122666673</v>
      </c>
      <c r="C120" s="38">
        <v>1000</v>
      </c>
      <c r="D120" s="46">
        <v>12000</v>
      </c>
      <c r="E120" s="35">
        <f t="shared" si="755"/>
        <v>-0.60588459132711026</v>
      </c>
      <c r="F120" s="46"/>
      <c r="G120" s="46"/>
      <c r="H120" s="46">
        <v>6698.36</v>
      </c>
      <c r="I120" s="46"/>
      <c r="J120" s="46">
        <v>1620.12</v>
      </c>
      <c r="K120" s="46"/>
      <c r="L120" s="46">
        <v>742.23</v>
      </c>
      <c r="M120" s="76">
        <f t="shared" si="455"/>
        <v>0.74223000000000006</v>
      </c>
      <c r="N120" s="46">
        <f>13262.48+4000</f>
        <v>17262.48</v>
      </c>
      <c r="O120" s="76">
        <f t="shared" si="484"/>
        <v>17.26248</v>
      </c>
      <c r="P120" s="46">
        <v>508.2</v>
      </c>
      <c r="Q120" s="76">
        <f t="shared" si="475"/>
        <v>0.50819999999999999</v>
      </c>
      <c r="R120" s="46"/>
      <c r="S120" s="46"/>
      <c r="T120" s="46"/>
      <c r="U120" s="76" t="e">
        <f t="shared" si="476"/>
        <v>#DIV/0!</v>
      </c>
      <c r="V120" s="46">
        <f t="shared" si="756"/>
        <v>26831.39</v>
      </c>
      <c r="W120" s="76">
        <f t="shared" si="456"/>
        <v>2.2359491666666664</v>
      </c>
      <c r="X120" s="46">
        <f t="shared" si="477"/>
        <v>2981.2655555555557</v>
      </c>
      <c r="Y120" s="83">
        <f t="shared" si="757"/>
        <v>3160.1414888888889</v>
      </c>
      <c r="Z120" s="83">
        <v>3279.3921111111113</v>
      </c>
      <c r="AA120" s="83">
        <f t="shared" si="758"/>
        <v>39352.705333333332</v>
      </c>
      <c r="AB120" s="81">
        <f t="shared" si="503"/>
        <v>6170.97</v>
      </c>
      <c r="AF120" s="83">
        <v>60</v>
      </c>
      <c r="AG120" s="103">
        <f t="shared" si="493"/>
        <v>1.5246728145314466E-3</v>
      </c>
      <c r="AH120" s="96"/>
      <c r="AI120" s="103">
        <f t="shared" si="493"/>
        <v>0</v>
      </c>
      <c r="AJ120" s="83">
        <v>227.4</v>
      </c>
      <c r="AK120" s="103">
        <f t="shared" ref="AK120:AM120" si="809">AJ120/$AA120</f>
        <v>5.7785099670741831E-3</v>
      </c>
      <c r="AL120" s="83">
        <v>1058.27</v>
      </c>
      <c r="AM120" s="103">
        <f t="shared" si="809"/>
        <v>2.6891924990569898E-2</v>
      </c>
      <c r="AN120" s="83"/>
      <c r="AO120" s="103">
        <f t="shared" ref="AO120:AQ120" si="810">AN120/$AA120</f>
        <v>0</v>
      </c>
      <c r="AP120" s="83"/>
      <c r="AQ120" s="103">
        <f t="shared" si="810"/>
        <v>0</v>
      </c>
      <c r="AR120" s="83"/>
      <c r="AS120" s="103">
        <f t="shared" ref="AS120" si="811">AR120/$AA120</f>
        <v>0</v>
      </c>
      <c r="AT120" s="83">
        <v>6170.5</v>
      </c>
      <c r="AU120" s="103">
        <f t="shared" ref="AU120" si="812">AT120/$AA120</f>
        <v>0.15679989336777153</v>
      </c>
      <c r="AV120" s="83">
        <v>961.17</v>
      </c>
      <c r="AW120" s="103">
        <f t="shared" ref="AW120:BC120" si="813">AV120/$AA120</f>
        <v>2.4424496152386507E-2</v>
      </c>
      <c r="AX120" s="83"/>
      <c r="AY120" s="103">
        <f t="shared" si="813"/>
        <v>0</v>
      </c>
      <c r="AZ120" s="83"/>
      <c r="BA120" s="103">
        <f t="shared" si="813"/>
        <v>0</v>
      </c>
      <c r="BB120" s="83"/>
      <c r="BC120" s="103">
        <f t="shared" si="813"/>
        <v>0</v>
      </c>
      <c r="BD120" s="104">
        <f t="shared" si="764"/>
        <v>8477.34</v>
      </c>
      <c r="BE120" s="103">
        <f t="shared" ref="BE120" si="814">BD120/$AA120</f>
        <v>0.21541949729233356</v>
      </c>
    </row>
    <row r="121" spans="1:57" x14ac:dyDescent="0.25">
      <c r="A121" s="60" t="s">
        <v>80</v>
      </c>
      <c r="B121" s="54">
        <v>21696.665258666661</v>
      </c>
      <c r="C121" s="38">
        <v>1300</v>
      </c>
      <c r="D121" s="46">
        <v>15600</v>
      </c>
      <c r="E121" s="35">
        <f t="shared" si="755"/>
        <v>-0.28099549797088597</v>
      </c>
      <c r="F121" s="46">
        <v>553.25</v>
      </c>
      <c r="G121" s="46">
        <v>982.65</v>
      </c>
      <c r="H121" s="46">
        <v>1781.76</v>
      </c>
      <c r="I121" s="46">
        <v>1892.17</v>
      </c>
      <c r="J121" s="46">
        <v>1650.83</v>
      </c>
      <c r="K121" s="46">
        <v>1423.5</v>
      </c>
      <c r="L121" s="46">
        <v>1064.51</v>
      </c>
      <c r="M121" s="76">
        <f t="shared" si="455"/>
        <v>0.81885384615384615</v>
      </c>
      <c r="N121" s="46">
        <v>1549.19</v>
      </c>
      <c r="O121" s="76">
        <f t="shared" si="484"/>
        <v>1.1916846153846155</v>
      </c>
      <c r="P121" s="46">
        <v>1094.49</v>
      </c>
      <c r="Q121" s="76">
        <f t="shared" si="475"/>
        <v>0.84191538461538462</v>
      </c>
      <c r="R121" s="46"/>
      <c r="S121" s="46"/>
      <c r="T121" s="46"/>
      <c r="U121" s="76">
        <f t="shared" si="476"/>
        <v>0</v>
      </c>
      <c r="V121" s="46">
        <f t="shared" si="756"/>
        <v>11992.35</v>
      </c>
      <c r="W121" s="76">
        <f t="shared" si="456"/>
        <v>0.76874038461538463</v>
      </c>
      <c r="X121" s="46">
        <f t="shared" si="477"/>
        <v>1332.4833333333333</v>
      </c>
      <c r="Y121" s="83">
        <f t="shared" si="757"/>
        <v>1412.4323333333334</v>
      </c>
      <c r="Z121" s="83">
        <v>1465.7316666666666</v>
      </c>
      <c r="AA121" s="83">
        <f t="shared" si="758"/>
        <v>17588.78</v>
      </c>
      <c r="AB121" s="81">
        <f t="shared" si="503"/>
        <v>1236.0633333333333</v>
      </c>
      <c r="AF121" s="83">
        <v>713.56</v>
      </c>
      <c r="AG121" s="103">
        <f t="shared" si="493"/>
        <v>4.0569044584104187E-2</v>
      </c>
      <c r="AH121" s="96">
        <v>1875.39</v>
      </c>
      <c r="AI121" s="103">
        <f t="shared" si="493"/>
        <v>0.10662422294212562</v>
      </c>
      <c r="AJ121" s="83">
        <v>1782.89</v>
      </c>
      <c r="AK121" s="103">
        <f t="shared" ref="AK121:AM121" si="815">AJ121/$AA121</f>
        <v>0.10136518848948024</v>
      </c>
      <c r="AL121" s="83">
        <v>1153.49</v>
      </c>
      <c r="AM121" s="103">
        <f t="shared" si="815"/>
        <v>6.5581012440885614E-2</v>
      </c>
      <c r="AN121" s="83">
        <v>304.61</v>
      </c>
      <c r="AO121" s="103">
        <f t="shared" ref="AO121:AQ121" si="816">AN121/$AA121</f>
        <v>1.73184268607601E-2</v>
      </c>
      <c r="AP121" s="83">
        <v>1897.06</v>
      </c>
      <c r="AQ121" s="103">
        <f t="shared" si="816"/>
        <v>0.10785625836470751</v>
      </c>
      <c r="AR121" s="83">
        <v>426</v>
      </c>
      <c r="AS121" s="103">
        <f t="shared" ref="AS121" si="817">AR121/$AA121</f>
        <v>2.4219985695426289E-2</v>
      </c>
      <c r="AT121" s="83"/>
      <c r="AU121" s="103">
        <f t="shared" ref="AU121" si="818">AT121/$AA121</f>
        <v>0</v>
      </c>
      <c r="AV121" s="83"/>
      <c r="AW121" s="103">
        <f t="shared" ref="AW121:BC121" si="819">AV121/$AA121</f>
        <v>0</v>
      </c>
      <c r="AX121" s="83"/>
      <c r="AY121" s="103">
        <f t="shared" si="819"/>
        <v>0</v>
      </c>
      <c r="AZ121" s="83"/>
      <c r="BA121" s="103">
        <f t="shared" si="819"/>
        <v>0</v>
      </c>
      <c r="BB121" s="83"/>
      <c r="BC121" s="103">
        <f t="shared" si="819"/>
        <v>0</v>
      </c>
      <c r="BD121" s="104">
        <f t="shared" si="764"/>
        <v>8153</v>
      </c>
      <c r="BE121" s="103">
        <f t="shared" ref="BE121" si="820">BD121/$AA121</f>
        <v>0.46353413937748955</v>
      </c>
    </row>
    <row r="122" spans="1:57" x14ac:dyDescent="0.25">
      <c r="A122" s="63" t="s">
        <v>81</v>
      </c>
      <c r="B122" s="54">
        <v>4957.3333333333339</v>
      </c>
      <c r="C122" s="38">
        <v>2100</v>
      </c>
      <c r="D122" s="46">
        <v>25200</v>
      </c>
      <c r="E122" s="35">
        <f t="shared" si="755"/>
        <v>4.0833781603012369</v>
      </c>
      <c r="F122" s="46"/>
      <c r="G122" s="46">
        <v>142.69999999999999</v>
      </c>
      <c r="H122" s="46"/>
      <c r="I122" s="46"/>
      <c r="J122" s="46"/>
      <c r="K122" s="46">
        <f>585.93+301.6</f>
        <v>887.53</v>
      </c>
      <c r="L122" s="46">
        <v>870.03</v>
      </c>
      <c r="M122" s="76">
        <f t="shared" si="455"/>
        <v>0.4143</v>
      </c>
      <c r="N122" s="46">
        <v>1186.19</v>
      </c>
      <c r="O122" s="76">
        <f t="shared" si="484"/>
        <v>0.56485238095238099</v>
      </c>
      <c r="P122" s="46">
        <v>160</v>
      </c>
      <c r="Q122" s="76">
        <f t="shared" si="475"/>
        <v>7.6190476190476197E-2</v>
      </c>
      <c r="R122" s="46"/>
      <c r="S122" s="46"/>
      <c r="T122" s="46"/>
      <c r="U122" s="76" t="e">
        <f t="shared" si="476"/>
        <v>#DIV/0!</v>
      </c>
      <c r="V122" s="46">
        <f t="shared" si="756"/>
        <v>3246.45</v>
      </c>
      <c r="W122" s="76">
        <f t="shared" si="456"/>
        <v>0.12882738095238094</v>
      </c>
      <c r="X122" s="46">
        <f t="shared" si="477"/>
        <v>360.71666666666664</v>
      </c>
      <c r="Y122" s="83">
        <f t="shared" si="757"/>
        <v>382.35966666666661</v>
      </c>
      <c r="Z122" s="83">
        <v>396.7883333333333</v>
      </c>
      <c r="AA122" s="83">
        <f t="shared" si="758"/>
        <v>4761.4599999999991</v>
      </c>
      <c r="AB122" s="81">
        <f t="shared" si="503"/>
        <v>738.74000000000012</v>
      </c>
      <c r="AF122" s="83"/>
      <c r="AG122" s="103">
        <f t="shared" si="493"/>
        <v>0</v>
      </c>
      <c r="AH122" s="96">
        <v>153</v>
      </c>
      <c r="AI122" s="103">
        <f t="shared" si="493"/>
        <v>3.2133001222314168E-2</v>
      </c>
      <c r="AJ122" s="83"/>
      <c r="AK122" s="103">
        <f t="shared" ref="AK122:AM122" si="821">AJ122/$AA122</f>
        <v>0</v>
      </c>
      <c r="AL122" s="83">
        <v>89.91</v>
      </c>
      <c r="AM122" s="103">
        <f t="shared" si="821"/>
        <v>1.8882863659465798E-2</v>
      </c>
      <c r="AN122" s="83"/>
      <c r="AO122" s="103">
        <f t="shared" ref="AO122:AQ122" si="822">AN122/$AA122</f>
        <v>0</v>
      </c>
      <c r="AP122" s="83"/>
      <c r="AQ122" s="103">
        <f t="shared" si="822"/>
        <v>0</v>
      </c>
      <c r="AR122" s="83">
        <v>394.96</v>
      </c>
      <c r="AS122" s="103">
        <f t="shared" ref="AS122" si="823">AR122/$AA122</f>
        <v>8.2949347469053622E-2</v>
      </c>
      <c r="AT122" s="83"/>
      <c r="AU122" s="103">
        <f t="shared" ref="AU122" si="824">AT122/$AA122</f>
        <v>0</v>
      </c>
      <c r="AV122" s="83"/>
      <c r="AW122" s="103">
        <f t="shared" ref="AW122:BC122" si="825">AV122/$AA122</f>
        <v>0</v>
      </c>
      <c r="AX122" s="83"/>
      <c r="AY122" s="103">
        <f t="shared" si="825"/>
        <v>0</v>
      </c>
      <c r="AZ122" s="83"/>
      <c r="BA122" s="103">
        <f t="shared" si="825"/>
        <v>0</v>
      </c>
      <c r="BB122" s="83"/>
      <c r="BC122" s="103">
        <f t="shared" si="825"/>
        <v>0</v>
      </c>
      <c r="BD122" s="104">
        <f t="shared" si="764"/>
        <v>637.87</v>
      </c>
      <c r="BE122" s="103">
        <f t="shared" ref="BE122" si="826">BD122/$AA122</f>
        <v>0.13396521235083358</v>
      </c>
    </row>
    <row r="123" spans="1:57" x14ac:dyDescent="0.25">
      <c r="A123" s="63" t="s">
        <v>102</v>
      </c>
      <c r="B123" s="54">
        <v>0</v>
      </c>
      <c r="C123" s="38">
        <v>600</v>
      </c>
      <c r="D123" s="46">
        <v>7200</v>
      </c>
      <c r="E123" s="35">
        <f t="shared" si="755"/>
        <v>0</v>
      </c>
      <c r="F123" s="46"/>
      <c r="G123" s="46"/>
      <c r="H123" s="46"/>
      <c r="I123" s="46"/>
      <c r="J123" s="46"/>
      <c r="K123" s="46"/>
      <c r="L123" s="46"/>
      <c r="M123" s="76">
        <f t="shared" si="455"/>
        <v>0</v>
      </c>
      <c r="N123" s="46"/>
      <c r="O123" s="76">
        <f t="shared" si="484"/>
        <v>0</v>
      </c>
      <c r="P123" s="46">
        <v>4449</v>
      </c>
      <c r="Q123" s="76">
        <f t="shared" si="475"/>
        <v>7.415</v>
      </c>
      <c r="R123" s="46"/>
      <c r="S123" s="46"/>
      <c r="T123" s="46"/>
      <c r="U123" s="76" t="e">
        <f t="shared" si="476"/>
        <v>#DIV/0!</v>
      </c>
      <c r="V123" s="46">
        <f t="shared" si="756"/>
        <v>4449</v>
      </c>
      <c r="W123" s="76">
        <f t="shared" si="456"/>
        <v>0.61791666666666667</v>
      </c>
      <c r="X123" s="46">
        <f t="shared" si="477"/>
        <v>494.33333333333331</v>
      </c>
      <c r="Y123" s="83">
        <f t="shared" si="757"/>
        <v>523.99333333333334</v>
      </c>
      <c r="Z123" s="83">
        <v>543.76666666666665</v>
      </c>
      <c r="AA123" s="83">
        <f t="shared" si="758"/>
        <v>6525.2</v>
      </c>
      <c r="AB123" s="81">
        <f t="shared" si="503"/>
        <v>1483</v>
      </c>
      <c r="AF123" s="83"/>
      <c r="AG123" s="103">
        <f t="shared" si="493"/>
        <v>0</v>
      </c>
      <c r="AH123" s="96"/>
      <c r="AI123" s="103">
        <f t="shared" si="493"/>
        <v>0</v>
      </c>
      <c r="AJ123" s="83"/>
      <c r="AK123" s="103">
        <f t="shared" ref="AK123:AM123" si="827">AJ123/$AA123</f>
        <v>0</v>
      </c>
      <c r="AL123" s="83"/>
      <c r="AM123" s="103">
        <f t="shared" si="827"/>
        <v>0</v>
      </c>
      <c r="AN123" s="83"/>
      <c r="AO123" s="103">
        <f t="shared" ref="AO123:AQ123" si="828">AN123/$AA123</f>
        <v>0</v>
      </c>
      <c r="AP123" s="83"/>
      <c r="AQ123" s="103">
        <f t="shared" si="828"/>
        <v>0</v>
      </c>
      <c r="AR123" s="83"/>
      <c r="AS123" s="103">
        <f t="shared" ref="AS123" si="829">AR123/$AA123</f>
        <v>0</v>
      </c>
      <c r="AT123" s="83"/>
      <c r="AU123" s="103">
        <f t="shared" ref="AU123" si="830">AT123/$AA123</f>
        <v>0</v>
      </c>
      <c r="AV123" s="83"/>
      <c r="AW123" s="103">
        <f t="shared" ref="AW123:BC123" si="831">AV123/$AA123</f>
        <v>0</v>
      </c>
      <c r="AX123" s="83"/>
      <c r="AY123" s="103">
        <f t="shared" si="831"/>
        <v>0</v>
      </c>
      <c r="AZ123" s="83"/>
      <c r="BA123" s="103">
        <f t="shared" si="831"/>
        <v>0</v>
      </c>
      <c r="BB123" s="83"/>
      <c r="BC123" s="103">
        <f t="shared" si="831"/>
        <v>0</v>
      </c>
      <c r="BD123" s="104">
        <f t="shared" si="764"/>
        <v>0</v>
      </c>
      <c r="BE123" s="103">
        <f t="shared" ref="BE123" si="832">BD123/$AA123</f>
        <v>0</v>
      </c>
    </row>
    <row r="124" spans="1:57" x14ac:dyDescent="0.25">
      <c r="A124" s="63" t="s">
        <v>82</v>
      </c>
      <c r="B124" s="54">
        <v>8358.3740586666681</v>
      </c>
      <c r="C124" s="38">
        <v>1000</v>
      </c>
      <c r="D124" s="46">
        <v>12000</v>
      </c>
      <c r="E124" s="35">
        <f t="shared" si="755"/>
        <v>0.4356859259675494</v>
      </c>
      <c r="F124" s="46"/>
      <c r="G124" s="46"/>
      <c r="H124" s="46"/>
      <c r="I124" s="46"/>
      <c r="J124" s="46">
        <v>612.5</v>
      </c>
      <c r="K124" s="46"/>
      <c r="L124" s="46"/>
      <c r="M124" s="76">
        <f t="shared" si="455"/>
        <v>0</v>
      </c>
      <c r="N124" s="46">
        <v>402.5</v>
      </c>
      <c r="O124" s="76">
        <f t="shared" si="484"/>
        <v>0.40250000000000002</v>
      </c>
      <c r="P124" s="46"/>
      <c r="Q124" s="76">
        <f t="shared" si="475"/>
        <v>0</v>
      </c>
      <c r="R124" s="46"/>
      <c r="S124" s="46"/>
      <c r="T124" s="46"/>
      <c r="U124" s="76" t="e">
        <f t="shared" si="476"/>
        <v>#DIV/0!</v>
      </c>
      <c r="V124" s="46">
        <f t="shared" si="756"/>
        <v>1015</v>
      </c>
      <c r="W124" s="76">
        <f t="shared" si="456"/>
        <v>8.458333333333333E-2</v>
      </c>
      <c r="X124" s="46">
        <f t="shared" si="477"/>
        <v>112.77777777777777</v>
      </c>
      <c r="Y124" s="83">
        <f t="shared" si="757"/>
        <v>119.54444444444444</v>
      </c>
      <c r="Z124" s="83">
        <v>1000</v>
      </c>
      <c r="AA124" s="83">
        <f t="shared" si="758"/>
        <v>12000</v>
      </c>
      <c r="AB124" s="81">
        <f t="shared" si="503"/>
        <v>134.16666666666666</v>
      </c>
      <c r="AF124" s="83"/>
      <c r="AG124" s="103">
        <f t="shared" si="493"/>
        <v>0</v>
      </c>
      <c r="AH124" s="96"/>
      <c r="AI124" s="103">
        <f t="shared" si="493"/>
        <v>0</v>
      </c>
      <c r="AJ124" s="83"/>
      <c r="AK124" s="103">
        <f t="shared" ref="AK124:AM124" si="833">AJ124/$AA124</f>
        <v>0</v>
      </c>
      <c r="AL124" s="83"/>
      <c r="AM124" s="103">
        <f t="shared" si="833"/>
        <v>0</v>
      </c>
      <c r="AN124" s="83"/>
      <c r="AO124" s="103">
        <f t="shared" ref="AO124:AQ124" si="834">AN124/$AA124</f>
        <v>0</v>
      </c>
      <c r="AP124" s="83"/>
      <c r="AQ124" s="103">
        <f t="shared" si="834"/>
        <v>0</v>
      </c>
      <c r="AR124" s="83"/>
      <c r="AS124" s="103">
        <f t="shared" ref="AS124" si="835">AR124/$AA124</f>
        <v>0</v>
      </c>
      <c r="AT124" s="83"/>
      <c r="AU124" s="103">
        <f t="shared" ref="AU124" si="836">AT124/$AA124</f>
        <v>0</v>
      </c>
      <c r="AV124" s="83"/>
      <c r="AW124" s="103">
        <f t="shared" ref="AW124:BC124" si="837">AV124/$AA124</f>
        <v>0</v>
      </c>
      <c r="AX124" s="83"/>
      <c r="AY124" s="103">
        <f t="shared" si="837"/>
        <v>0</v>
      </c>
      <c r="AZ124" s="83"/>
      <c r="BA124" s="103">
        <f t="shared" si="837"/>
        <v>0</v>
      </c>
      <c r="BB124" s="83"/>
      <c r="BC124" s="103">
        <f t="shared" si="837"/>
        <v>0</v>
      </c>
      <c r="BD124" s="104">
        <f t="shared" si="764"/>
        <v>0</v>
      </c>
      <c r="BE124" s="103">
        <f t="shared" ref="BE124" si="838">BD124/$AA124</f>
        <v>0</v>
      </c>
    </row>
    <row r="125" spans="1:57" x14ac:dyDescent="0.25">
      <c r="A125" s="63" t="s">
        <v>83</v>
      </c>
      <c r="B125" s="54">
        <v>43000</v>
      </c>
      <c r="C125" s="38">
        <v>11046.666666666666</v>
      </c>
      <c r="D125" s="46">
        <v>132560</v>
      </c>
      <c r="E125" s="35">
        <f t="shared" si="755"/>
        <v>2.0827906976744188</v>
      </c>
      <c r="F125" s="46">
        <f>5321.2-2030.6</f>
        <v>3290.6</v>
      </c>
      <c r="G125" s="46">
        <f>8140.4+2543</f>
        <v>10683.4</v>
      </c>
      <c r="H125" s="46">
        <v>18433.7</v>
      </c>
      <c r="I125" s="46">
        <v>7567.27</v>
      </c>
      <c r="J125" s="46">
        <v>8652.1</v>
      </c>
      <c r="K125" s="46">
        <f>7729.4+1032.5</f>
        <v>8761.9</v>
      </c>
      <c r="L125" s="46"/>
      <c r="M125" s="76">
        <f t="shared" si="455"/>
        <v>0</v>
      </c>
      <c r="N125" s="46">
        <f>8105-800</f>
        <v>7305</v>
      </c>
      <c r="O125" s="76">
        <f t="shared" si="484"/>
        <v>0.66128545564272789</v>
      </c>
      <c r="P125" s="46">
        <f>17637.3-1000-8080</f>
        <v>8557.2999999999993</v>
      </c>
      <c r="Q125" s="76">
        <f t="shared" si="475"/>
        <v>0.77464996982498491</v>
      </c>
      <c r="R125" s="46"/>
      <c r="S125" s="46"/>
      <c r="T125" s="46"/>
      <c r="U125" s="76">
        <f t="shared" si="476"/>
        <v>0</v>
      </c>
      <c r="V125" s="46">
        <f t="shared" si="756"/>
        <v>73251.26999999999</v>
      </c>
      <c r="W125" s="76">
        <f t="shared" si="456"/>
        <v>0.55258954435727214</v>
      </c>
      <c r="X125" s="46">
        <f t="shared" si="477"/>
        <v>8139.0299999999988</v>
      </c>
      <c r="Y125" s="83">
        <f t="shared" si="757"/>
        <v>8627.371799999999</v>
      </c>
      <c r="Z125" s="83">
        <v>11046.67</v>
      </c>
      <c r="AA125" s="83">
        <f t="shared" si="758"/>
        <v>132560.04</v>
      </c>
      <c r="AB125" s="81">
        <f t="shared" si="503"/>
        <v>5287.4333333333334</v>
      </c>
      <c r="AF125" s="83"/>
      <c r="AG125" s="103">
        <f t="shared" si="493"/>
        <v>0</v>
      </c>
      <c r="AH125" s="96">
        <v>8763.6</v>
      </c>
      <c r="AI125" s="103">
        <f t="shared" si="493"/>
        <v>6.6110420606390885E-2</v>
      </c>
      <c r="AJ125" s="83">
        <v>11866.9</v>
      </c>
      <c r="AK125" s="103">
        <f t="shared" ref="AK125:AM125" si="839">AJ125/$AA125</f>
        <v>8.9520944622527257E-2</v>
      </c>
      <c r="AL125" s="83">
        <f>2851.4+6219.4</f>
        <v>9070.7999999999993</v>
      </c>
      <c r="AM125" s="103">
        <f t="shared" si="839"/>
        <v>6.842786106582345E-2</v>
      </c>
      <c r="AN125" s="83">
        <v>9206.7000000000007</v>
      </c>
      <c r="AO125" s="103">
        <f t="shared" ref="AO125:AQ125" si="840">AN125/$AA125</f>
        <v>6.9453056894068527E-2</v>
      </c>
      <c r="AP125" s="83">
        <f>4042.2+1949.1</f>
        <v>5991.2999999999993</v>
      </c>
      <c r="AQ125" s="103">
        <f t="shared" si="840"/>
        <v>4.5196878335281125E-2</v>
      </c>
      <c r="AR125" s="83"/>
      <c r="AS125" s="103">
        <f t="shared" ref="AS125" si="841">AR125/$AA125</f>
        <v>0</v>
      </c>
      <c r="AT125" s="83">
        <v>8933.2000000000007</v>
      </c>
      <c r="AU125" s="103">
        <f t="shared" ref="AU125" si="842">AT125/$AA125</f>
        <v>6.7389840860035952E-2</v>
      </c>
      <c r="AV125" s="83">
        <v>7522.8</v>
      </c>
      <c r="AW125" s="103">
        <f t="shared" ref="AW125:BC125" si="843">AV125/$AA125</f>
        <v>5.6750133750714013E-2</v>
      </c>
      <c r="AX125" s="83"/>
      <c r="AY125" s="103">
        <f t="shared" si="843"/>
        <v>0</v>
      </c>
      <c r="AZ125" s="83"/>
      <c r="BA125" s="103">
        <f t="shared" si="843"/>
        <v>0</v>
      </c>
      <c r="BB125" s="83"/>
      <c r="BC125" s="103">
        <f t="shared" si="843"/>
        <v>0</v>
      </c>
      <c r="BD125" s="104">
        <f t="shared" si="764"/>
        <v>61355.3</v>
      </c>
      <c r="BE125" s="103">
        <f t="shared" ref="BE125" si="844">BD125/$AA125</f>
        <v>0.46284913613484124</v>
      </c>
    </row>
    <row r="126" spans="1:57" x14ac:dyDescent="0.25">
      <c r="A126" s="63" t="s">
        <v>66</v>
      </c>
      <c r="B126" s="54">
        <v>187.20000000000002</v>
      </c>
      <c r="C126" s="38">
        <v>50</v>
      </c>
      <c r="D126" s="46">
        <v>600</v>
      </c>
      <c r="E126" s="35">
        <f t="shared" si="755"/>
        <v>2.2051282051282048</v>
      </c>
      <c r="F126" s="46"/>
      <c r="G126" s="46"/>
      <c r="H126" s="46"/>
      <c r="I126" s="46"/>
      <c r="J126" s="46"/>
      <c r="K126" s="46">
        <v>334.53</v>
      </c>
      <c r="L126" s="46"/>
      <c r="M126" s="76">
        <f t="shared" si="455"/>
        <v>0</v>
      </c>
      <c r="N126" s="46"/>
      <c r="O126" s="76">
        <f t="shared" si="484"/>
        <v>0</v>
      </c>
      <c r="P126" s="46"/>
      <c r="Q126" s="76">
        <f t="shared" si="475"/>
        <v>0</v>
      </c>
      <c r="R126" s="46"/>
      <c r="S126" s="46"/>
      <c r="T126" s="46"/>
      <c r="U126" s="76" t="e">
        <f t="shared" si="476"/>
        <v>#DIV/0!</v>
      </c>
      <c r="V126" s="46">
        <f t="shared" si="756"/>
        <v>334.53</v>
      </c>
      <c r="W126" s="76">
        <f t="shared" si="456"/>
        <v>0.55754999999999999</v>
      </c>
      <c r="X126" s="46">
        <f t="shared" si="477"/>
        <v>37.169999999999995</v>
      </c>
      <c r="Y126" s="83">
        <f t="shared" si="757"/>
        <v>39.400199999999991</v>
      </c>
      <c r="Z126" s="83">
        <v>50</v>
      </c>
      <c r="AA126" s="83">
        <f t="shared" si="758"/>
        <v>600</v>
      </c>
      <c r="AB126" s="81">
        <f t="shared" si="503"/>
        <v>0</v>
      </c>
      <c r="AF126" s="83"/>
      <c r="AG126" s="103">
        <f t="shared" si="493"/>
        <v>0</v>
      </c>
      <c r="AH126" s="96"/>
      <c r="AI126" s="103">
        <f t="shared" si="493"/>
        <v>0</v>
      </c>
      <c r="AJ126" s="83"/>
      <c r="AK126" s="103">
        <f t="shared" ref="AK126:AM126" si="845">AJ126/$AA126</f>
        <v>0</v>
      </c>
      <c r="AL126" s="83"/>
      <c r="AM126" s="103">
        <f t="shared" si="845"/>
        <v>0</v>
      </c>
      <c r="AN126" s="83"/>
      <c r="AO126" s="103">
        <f t="shared" ref="AO126:AQ126" si="846">AN126/$AA126</f>
        <v>0</v>
      </c>
      <c r="AP126" s="83"/>
      <c r="AQ126" s="103">
        <f t="shared" si="846"/>
        <v>0</v>
      </c>
      <c r="AR126" s="83"/>
      <c r="AS126" s="103">
        <f t="shared" ref="AS126" si="847">AR126/$AA126</f>
        <v>0</v>
      </c>
      <c r="AT126" s="83"/>
      <c r="AU126" s="103">
        <f t="shared" ref="AU126" si="848">AT126/$AA126</f>
        <v>0</v>
      </c>
      <c r="AV126" s="83"/>
      <c r="AW126" s="103">
        <f t="shared" ref="AW126:BC126" si="849">AV126/$AA126</f>
        <v>0</v>
      </c>
      <c r="AX126" s="83"/>
      <c r="AY126" s="103">
        <f t="shared" si="849"/>
        <v>0</v>
      </c>
      <c r="AZ126" s="83"/>
      <c r="BA126" s="103">
        <f t="shared" si="849"/>
        <v>0</v>
      </c>
      <c r="BB126" s="83"/>
      <c r="BC126" s="103">
        <f t="shared" si="849"/>
        <v>0</v>
      </c>
      <c r="BD126" s="104">
        <f t="shared" si="764"/>
        <v>0</v>
      </c>
      <c r="BE126" s="103">
        <f t="shared" ref="BE126" si="850">BD126/$AA126</f>
        <v>0</v>
      </c>
    </row>
    <row r="127" spans="1:57" x14ac:dyDescent="0.25">
      <c r="A127" s="63" t="s">
        <v>84</v>
      </c>
      <c r="B127" s="54">
        <v>7787.52</v>
      </c>
      <c r="C127" s="38">
        <v>1000</v>
      </c>
      <c r="D127" s="46">
        <v>12000</v>
      </c>
      <c r="E127" s="35">
        <f t="shared" si="755"/>
        <v>0.54092702169625229</v>
      </c>
      <c r="F127" s="46"/>
      <c r="G127" s="46"/>
      <c r="H127" s="46">
        <v>900</v>
      </c>
      <c r="I127" s="46"/>
      <c r="J127" s="46"/>
      <c r="K127" s="46">
        <v>1050</v>
      </c>
      <c r="L127" s="46"/>
      <c r="M127" s="76">
        <f t="shared" si="455"/>
        <v>0</v>
      </c>
      <c r="N127" s="46"/>
      <c r="O127" s="76">
        <f t="shared" si="484"/>
        <v>0</v>
      </c>
      <c r="P127" s="46"/>
      <c r="Q127" s="76">
        <f t="shared" si="475"/>
        <v>0</v>
      </c>
      <c r="R127" s="46"/>
      <c r="S127" s="46"/>
      <c r="T127" s="46"/>
      <c r="U127" s="76" t="e">
        <f t="shared" si="476"/>
        <v>#DIV/0!</v>
      </c>
      <c r="V127" s="46">
        <f t="shared" si="756"/>
        <v>1950</v>
      </c>
      <c r="W127" s="76">
        <f t="shared" si="456"/>
        <v>0.16250000000000001</v>
      </c>
      <c r="X127" s="46">
        <f t="shared" si="477"/>
        <v>216.66666666666666</v>
      </c>
      <c r="Y127" s="83">
        <f t="shared" si="757"/>
        <v>229.66666666666666</v>
      </c>
      <c r="Z127" s="83">
        <v>1000</v>
      </c>
      <c r="AA127" s="83">
        <f t="shared" si="758"/>
        <v>12000</v>
      </c>
      <c r="AB127" s="81">
        <f t="shared" si="503"/>
        <v>0</v>
      </c>
      <c r="AF127" s="83"/>
      <c r="AG127" s="103">
        <f t="shared" si="493"/>
        <v>0</v>
      </c>
      <c r="AH127" s="83"/>
      <c r="AI127" s="103">
        <f t="shared" si="493"/>
        <v>0</v>
      </c>
      <c r="AJ127" s="83"/>
      <c r="AK127" s="103">
        <f t="shared" ref="AK127:AM127" si="851">AJ127/$AA127</f>
        <v>0</v>
      </c>
      <c r="AL127" s="83"/>
      <c r="AM127" s="103">
        <f t="shared" si="851"/>
        <v>0</v>
      </c>
      <c r="AN127" s="83"/>
      <c r="AO127" s="103">
        <f t="shared" ref="AO127:AQ127" si="852">AN127/$AA127</f>
        <v>0</v>
      </c>
      <c r="AP127" s="83"/>
      <c r="AQ127" s="103">
        <f t="shared" si="852"/>
        <v>0</v>
      </c>
      <c r="AR127" s="83"/>
      <c r="AS127" s="103">
        <f t="shared" ref="AS127" si="853">AR127/$AA127</f>
        <v>0</v>
      </c>
      <c r="AT127" s="83"/>
      <c r="AU127" s="103">
        <f t="shared" ref="AU127" si="854">AT127/$AA127</f>
        <v>0</v>
      </c>
      <c r="AV127" s="83"/>
      <c r="AW127" s="103">
        <f t="shared" ref="AW127:BC127" si="855">AV127/$AA127</f>
        <v>0</v>
      </c>
      <c r="AX127" s="83"/>
      <c r="AY127" s="103">
        <f t="shared" si="855"/>
        <v>0</v>
      </c>
      <c r="AZ127" s="83"/>
      <c r="BA127" s="103">
        <f t="shared" si="855"/>
        <v>0</v>
      </c>
      <c r="BB127" s="83"/>
      <c r="BC127" s="103">
        <f t="shared" si="855"/>
        <v>0</v>
      </c>
      <c r="BD127" s="104">
        <f t="shared" si="764"/>
        <v>0</v>
      </c>
      <c r="BE127" s="103">
        <f t="shared" ref="BE127" si="856">BD127/$AA127</f>
        <v>0</v>
      </c>
    </row>
    <row r="128" spans="1:57" x14ac:dyDescent="0.25">
      <c r="A128" s="57" t="s">
        <v>85</v>
      </c>
      <c r="B128" s="56">
        <v>409029.89990399999</v>
      </c>
      <c r="C128" s="41">
        <v>52655</v>
      </c>
      <c r="D128" s="41">
        <f>D129</f>
        <v>582860</v>
      </c>
      <c r="E128" s="35">
        <f t="shared" si="755"/>
        <v>0.42498140144962071</v>
      </c>
      <c r="F128" s="41">
        <f>F129</f>
        <v>14767.07</v>
      </c>
      <c r="G128" s="41">
        <f t="shared" ref="G128:V128" si="857">G129</f>
        <v>35598.79</v>
      </c>
      <c r="H128" s="41">
        <f t="shared" si="857"/>
        <v>62210.419999999991</v>
      </c>
      <c r="I128" s="41">
        <f t="shared" si="857"/>
        <v>102057.09999999999</v>
      </c>
      <c r="J128" s="41">
        <f t="shared" si="857"/>
        <v>103939.86</v>
      </c>
      <c r="K128" s="41">
        <f t="shared" si="857"/>
        <v>112331.04000000001</v>
      </c>
      <c r="L128" s="41">
        <f t="shared" si="857"/>
        <v>22310.95</v>
      </c>
      <c r="M128" s="77">
        <f t="shared" si="455"/>
        <v>0.42371949482480298</v>
      </c>
      <c r="N128" s="41">
        <f t="shared" si="857"/>
        <v>70638.400000000009</v>
      </c>
      <c r="O128" s="77">
        <f t="shared" si="484"/>
        <v>1.3415326179849969</v>
      </c>
      <c r="P128" s="41">
        <f t="shared" si="857"/>
        <v>84757.290000000008</v>
      </c>
      <c r="Q128" s="77">
        <f t="shared" si="475"/>
        <v>1.6096722058683888</v>
      </c>
      <c r="R128" s="41">
        <f t="shared" si="857"/>
        <v>0</v>
      </c>
      <c r="S128" s="41">
        <f t="shared" si="857"/>
        <v>0</v>
      </c>
      <c r="T128" s="41">
        <f t="shared" si="857"/>
        <v>0</v>
      </c>
      <c r="U128" s="77">
        <f t="shared" si="476"/>
        <v>0</v>
      </c>
      <c r="V128" s="41">
        <f t="shared" si="857"/>
        <v>694626.72</v>
      </c>
      <c r="W128" s="77">
        <f t="shared" si="456"/>
        <v>1.1917556874721202</v>
      </c>
      <c r="X128" s="41">
        <f t="shared" si="477"/>
        <v>77180.746666666659</v>
      </c>
      <c r="Y128" s="41">
        <f t="shared" ref="Y128" si="858">Y129</f>
        <v>81811.59146666665</v>
      </c>
      <c r="Z128" s="41">
        <v>84898.821333333326</v>
      </c>
      <c r="AA128" s="41">
        <f>AA129</f>
        <v>877630.86693333322</v>
      </c>
      <c r="AB128" s="81">
        <f t="shared" si="503"/>
        <v>59235.546666666669</v>
      </c>
      <c r="AC128" t="s">
        <v>197</v>
      </c>
      <c r="AF128" s="41">
        <f>AF129</f>
        <v>41460.699999999997</v>
      </c>
      <c r="AG128" s="77">
        <f t="shared" si="493"/>
        <v>4.7241615538061339E-2</v>
      </c>
      <c r="AH128" s="41">
        <f>AH129</f>
        <v>106902.53000000001</v>
      </c>
      <c r="AI128" s="77">
        <f t="shared" si="493"/>
        <v>0.12180807903161474</v>
      </c>
      <c r="AJ128" s="41">
        <f>AJ129</f>
        <v>76845.649999999994</v>
      </c>
      <c r="AK128" s="77">
        <f t="shared" ref="AK128:AM128" si="859">AJ128/$AA128</f>
        <v>8.756033190641796E-2</v>
      </c>
      <c r="AL128" s="41">
        <f>AL129</f>
        <v>56691.63</v>
      </c>
      <c r="AM128" s="77">
        <f t="shared" si="859"/>
        <v>6.4596212526224217E-2</v>
      </c>
      <c r="AN128" s="41">
        <f>AN129</f>
        <v>56694.009999999995</v>
      </c>
      <c r="AO128" s="77">
        <f t="shared" ref="AO128:AQ128" si="860">AN128/$AA128</f>
        <v>6.4598924372502267E-2</v>
      </c>
      <c r="AP128" s="41">
        <f>AP129</f>
        <v>129335.95000000001</v>
      </c>
      <c r="AQ128" s="77">
        <f t="shared" si="860"/>
        <v>0.14736941791021196</v>
      </c>
      <c r="AR128" s="41">
        <f>AR129</f>
        <v>76774.610000000015</v>
      </c>
      <c r="AS128" s="77">
        <f t="shared" ref="AS128" si="861">AR128/$AA128</f>
        <v>8.7479386713311652E-2</v>
      </c>
      <c r="AT128" s="41">
        <f>AT129</f>
        <v>58399.75</v>
      </c>
      <c r="AU128" s="77">
        <f t="shared" ref="AU128" si="862">AT128/$AA128</f>
        <v>6.6542497763397573E-2</v>
      </c>
      <c r="AV128" s="41">
        <f>AV129</f>
        <v>91834.23000000001</v>
      </c>
      <c r="AW128" s="77">
        <f t="shared" ref="AW128:BC128" si="863">AV128/$AA128</f>
        <v>0.10463878774101497</v>
      </c>
      <c r="AX128" s="41">
        <f>AX129</f>
        <v>0</v>
      </c>
      <c r="AY128" s="77">
        <f t="shared" si="863"/>
        <v>0</v>
      </c>
      <c r="AZ128" s="41">
        <f>AZ129</f>
        <v>0</v>
      </c>
      <c r="BA128" s="77">
        <f t="shared" si="863"/>
        <v>0</v>
      </c>
      <c r="BB128" s="41">
        <f>BB129</f>
        <v>0</v>
      </c>
      <c r="BC128" s="77">
        <f t="shared" si="863"/>
        <v>0</v>
      </c>
      <c r="BD128" s="41">
        <f t="shared" ref="BD128" si="864">BD129</f>
        <v>694939.06</v>
      </c>
      <c r="BE128" s="77">
        <f t="shared" ref="BE128" si="865">BD128/$AA128</f>
        <v>0.79183525350275674</v>
      </c>
    </row>
    <row r="129" spans="1:57" x14ac:dyDescent="0.25">
      <c r="A129" s="58" t="s">
        <v>86</v>
      </c>
      <c r="B129" s="59">
        <v>409029.89990399999</v>
      </c>
      <c r="C129" s="42">
        <v>52655</v>
      </c>
      <c r="D129" s="42">
        <f>SUM(D130:D141)</f>
        <v>582860</v>
      </c>
      <c r="E129" s="35">
        <f t="shared" si="755"/>
        <v>0.42498140144962071</v>
      </c>
      <c r="F129" s="42">
        <f t="shared" ref="F129:L129" si="866">SUM(F130:F141)</f>
        <v>14767.07</v>
      </c>
      <c r="G129" s="42">
        <f t="shared" si="866"/>
        <v>35598.79</v>
      </c>
      <c r="H129" s="42">
        <f t="shared" si="866"/>
        <v>62210.419999999991</v>
      </c>
      <c r="I129" s="42">
        <f t="shared" si="866"/>
        <v>102057.09999999999</v>
      </c>
      <c r="J129" s="42">
        <f t="shared" si="866"/>
        <v>103939.86</v>
      </c>
      <c r="K129" s="42">
        <f t="shared" si="866"/>
        <v>112331.04000000001</v>
      </c>
      <c r="L129" s="42">
        <f t="shared" si="866"/>
        <v>22310.95</v>
      </c>
      <c r="M129" s="78">
        <f t="shared" si="455"/>
        <v>0.42371949482480298</v>
      </c>
      <c r="N129" s="42">
        <f>SUM(N130:N141)</f>
        <v>70638.400000000009</v>
      </c>
      <c r="O129" s="78">
        <f t="shared" si="484"/>
        <v>1.3415326179849969</v>
      </c>
      <c r="P129" s="42">
        <f>SUM(P130:P141)</f>
        <v>84757.290000000008</v>
      </c>
      <c r="Q129" s="78">
        <f t="shared" si="475"/>
        <v>1.6096722058683888</v>
      </c>
      <c r="R129" s="42">
        <f>SUM(R130:R141)</f>
        <v>0</v>
      </c>
      <c r="S129" s="42">
        <f>SUM(S130:S141)</f>
        <v>0</v>
      </c>
      <c r="T129" s="42">
        <f>SUM(T130:T141)</f>
        <v>0</v>
      </c>
      <c r="U129" s="78">
        <f t="shared" si="476"/>
        <v>0</v>
      </c>
      <c r="V129" s="42">
        <f>SUM(V130:V141)</f>
        <v>694626.72</v>
      </c>
      <c r="W129" s="78">
        <f t="shared" si="456"/>
        <v>1.1917556874721202</v>
      </c>
      <c r="X129" s="42">
        <f t="shared" si="477"/>
        <v>77180.746666666659</v>
      </c>
      <c r="Y129" s="42">
        <f>SUM(Y130:Y141)</f>
        <v>81811.59146666665</v>
      </c>
      <c r="Z129" s="42">
        <f>SUM(Z130:Z141)</f>
        <v>73135.905577777768</v>
      </c>
      <c r="AA129" s="42">
        <f>SUM(AA130:AA141)</f>
        <v>877630.86693333322</v>
      </c>
      <c r="AB129" s="81">
        <f t="shared" si="503"/>
        <v>59235.546666666669</v>
      </c>
      <c r="AC129" t="s">
        <v>198</v>
      </c>
      <c r="AF129" s="42">
        <f>SUM(AF130:AF141)</f>
        <v>41460.699999999997</v>
      </c>
      <c r="AG129" s="78">
        <f t="shared" si="493"/>
        <v>4.7241615538061339E-2</v>
      </c>
      <c r="AH129" s="42">
        <f>SUM(AH130:AH141)</f>
        <v>106902.53000000001</v>
      </c>
      <c r="AI129" s="78">
        <f t="shared" si="493"/>
        <v>0.12180807903161474</v>
      </c>
      <c r="AJ129" s="42">
        <f>SUM(AJ130:AJ141)</f>
        <v>76845.649999999994</v>
      </c>
      <c r="AK129" s="78">
        <f t="shared" ref="AK129:AM129" si="867">AJ129/$AA129</f>
        <v>8.756033190641796E-2</v>
      </c>
      <c r="AL129" s="42">
        <f>SUM(AL130:AL141)</f>
        <v>56691.63</v>
      </c>
      <c r="AM129" s="78">
        <f t="shared" si="867"/>
        <v>6.4596212526224217E-2</v>
      </c>
      <c r="AN129" s="42">
        <f>SUM(AN130:AN141)</f>
        <v>56694.009999999995</v>
      </c>
      <c r="AO129" s="78">
        <f t="shared" ref="AO129:AQ129" si="868">AN129/$AA129</f>
        <v>6.4598924372502267E-2</v>
      </c>
      <c r="AP129" s="42">
        <f>SUM(AP130:AP141)</f>
        <v>129335.95000000001</v>
      </c>
      <c r="AQ129" s="78">
        <f t="shared" si="868"/>
        <v>0.14736941791021196</v>
      </c>
      <c r="AR129" s="42">
        <f>SUM(AR130:AR141)</f>
        <v>76774.610000000015</v>
      </c>
      <c r="AS129" s="78">
        <f t="shared" ref="AS129" si="869">AR129/$AA129</f>
        <v>8.7479386713311652E-2</v>
      </c>
      <c r="AT129" s="42">
        <f>SUM(AT130:AT141)</f>
        <v>58399.75</v>
      </c>
      <c r="AU129" s="78">
        <f t="shared" ref="AU129" si="870">AT129/$AA129</f>
        <v>6.6542497763397573E-2</v>
      </c>
      <c r="AV129" s="42">
        <f>SUM(AV130:AV141)</f>
        <v>91834.23000000001</v>
      </c>
      <c r="AW129" s="78">
        <f t="shared" ref="AW129:BC129" si="871">AV129/$AA129</f>
        <v>0.10463878774101497</v>
      </c>
      <c r="AX129" s="42">
        <f>SUM(AX130:AX141)</f>
        <v>0</v>
      </c>
      <c r="AY129" s="78">
        <f t="shared" si="871"/>
        <v>0</v>
      </c>
      <c r="AZ129" s="42">
        <f>SUM(AZ130:AZ141)</f>
        <v>0</v>
      </c>
      <c r="BA129" s="78">
        <f t="shared" si="871"/>
        <v>0</v>
      </c>
      <c r="BB129" s="42">
        <f>SUM(BB130:BB141)</f>
        <v>0</v>
      </c>
      <c r="BC129" s="78">
        <f t="shared" si="871"/>
        <v>0</v>
      </c>
      <c r="BD129" s="42">
        <f t="shared" ref="BD129" si="872">SUM(BD130:BD141)</f>
        <v>694939.06</v>
      </c>
      <c r="BE129" s="78">
        <f t="shared" ref="BE129" si="873">BD129/$AA129</f>
        <v>0.79183525350275674</v>
      </c>
    </row>
    <row r="130" spans="1:57" x14ac:dyDescent="0.25">
      <c r="A130" s="98" t="s">
        <v>75</v>
      </c>
      <c r="B130" s="94">
        <v>61028.448000000004</v>
      </c>
      <c r="C130" s="46">
        <v>5700</v>
      </c>
      <c r="D130" s="46">
        <f t="shared" ref="D130:D135" si="874">C130*12</f>
        <v>68400</v>
      </c>
      <c r="E130" s="95">
        <f t="shared" si="755"/>
        <v>0.12078878361776457</v>
      </c>
      <c r="F130" s="46">
        <f>8527</f>
        <v>8527</v>
      </c>
      <c r="G130" s="46">
        <f>6537.37</f>
        <v>6537.37</v>
      </c>
      <c r="H130" s="46">
        <f>6253.13</f>
        <v>6253.13</v>
      </c>
      <c r="I130" s="46">
        <v>8527</v>
      </c>
      <c r="J130" s="46">
        <v>9751.9500000000007</v>
      </c>
      <c r="K130" s="46">
        <f>6613.49</f>
        <v>6613.49</v>
      </c>
      <c r="L130" s="46"/>
      <c r="M130" s="76">
        <f t="shared" ref="M130:M155" si="875">L130/C130</f>
        <v>0</v>
      </c>
      <c r="N130" s="46"/>
      <c r="O130" s="76">
        <f t="shared" si="484"/>
        <v>0</v>
      </c>
      <c r="P130" s="46"/>
      <c r="Q130" s="76">
        <f t="shared" si="475"/>
        <v>0</v>
      </c>
      <c r="R130" s="46"/>
      <c r="S130" s="46"/>
      <c r="T130" s="46"/>
      <c r="U130" s="76">
        <f t="shared" si="476"/>
        <v>0</v>
      </c>
      <c r="V130" s="46">
        <f t="shared" ref="V130:V141" si="876">T130+S130+R130+P130+N130+L130+K130+J130+I130+H130+G130+F130</f>
        <v>46209.94</v>
      </c>
      <c r="W130" s="76">
        <f t="shared" ref="W130:W155" si="877">V130/D130</f>
        <v>0.67558391812865504</v>
      </c>
      <c r="X130" s="46">
        <f t="shared" si="477"/>
        <v>5134.4377777777781</v>
      </c>
      <c r="Y130" s="96">
        <f t="shared" ref="Y130:Y141" si="878">X130+(X130*$Y$2)</f>
        <v>5442.5040444444448</v>
      </c>
      <c r="Z130" s="96">
        <v>0</v>
      </c>
      <c r="AA130" s="96">
        <f t="shared" si="758"/>
        <v>0</v>
      </c>
      <c r="AB130" s="81">
        <f t="shared" si="503"/>
        <v>0</v>
      </c>
      <c r="AC130" t="s">
        <v>199</v>
      </c>
      <c r="AF130" s="96">
        <f>5000-84.2-2532.66</f>
        <v>2383.1400000000003</v>
      </c>
      <c r="AG130" s="102"/>
      <c r="AH130" s="96">
        <f>6774.49-2500.61+1500</f>
        <v>5773.8799999999992</v>
      </c>
      <c r="AI130" s="102"/>
      <c r="AJ130" s="96">
        <f>5000-2698.5</f>
        <v>2301.5</v>
      </c>
      <c r="AK130" s="102"/>
      <c r="AL130" s="96">
        <f>1500-1110</f>
        <v>390</v>
      </c>
      <c r="AM130" s="102"/>
      <c r="AN130" s="96"/>
      <c r="AO130" s="102"/>
      <c r="AP130" s="96">
        <v>8367.77</v>
      </c>
      <c r="AQ130" s="102"/>
      <c r="AR130" s="96">
        <f>8500.58-0.51</f>
        <v>8500.07</v>
      </c>
      <c r="AS130" s="102"/>
      <c r="AT130" s="96">
        <f>8500.61-0.56</f>
        <v>8500.0500000000011</v>
      </c>
      <c r="AU130" s="102"/>
      <c r="AV130" s="96">
        <f>8500.66-0.61</f>
        <v>8500.0499999999993</v>
      </c>
      <c r="AW130" s="102"/>
      <c r="AX130" s="96"/>
      <c r="AY130" s="102"/>
      <c r="AZ130" s="96"/>
      <c r="BA130" s="102"/>
      <c r="BB130" s="96"/>
      <c r="BC130" s="102"/>
      <c r="BD130" s="104">
        <f t="shared" ref="BD130:BD141" si="879">AF130+AH130+AJ130+AL130+AN130+AP130+AR130+AT130+AV130+AX130+AZ130+BB130</f>
        <v>44716.460000000006</v>
      </c>
      <c r="BE130" s="102"/>
    </row>
    <row r="131" spans="1:57" x14ac:dyDescent="0.25">
      <c r="A131" s="98" t="s">
        <v>83</v>
      </c>
      <c r="B131" s="94">
        <v>180000</v>
      </c>
      <c r="C131" s="46">
        <v>13833.333333333334</v>
      </c>
      <c r="D131" s="46">
        <v>166000</v>
      </c>
      <c r="E131" s="95">
        <f t="shared" si="755"/>
        <v>-7.7777777777777724E-2</v>
      </c>
      <c r="F131" s="46">
        <v>1230</v>
      </c>
      <c r="G131" s="46">
        <v>5700</v>
      </c>
      <c r="H131" s="46">
        <v>31207.13</v>
      </c>
      <c r="I131" s="46">
        <f>24950+840</f>
        <v>25790</v>
      </c>
      <c r="J131" s="46">
        <v>49120</v>
      </c>
      <c r="K131" s="46">
        <v>38640</v>
      </c>
      <c r="L131" s="46"/>
      <c r="M131" s="76">
        <f t="shared" si="875"/>
        <v>0</v>
      </c>
      <c r="N131" s="46">
        <v>32500</v>
      </c>
      <c r="O131" s="76">
        <f t="shared" si="484"/>
        <v>2.3493975903614457</v>
      </c>
      <c r="P131" s="46">
        <f>1000+48812+1750</f>
        <v>51562</v>
      </c>
      <c r="Q131" s="76">
        <f t="shared" si="475"/>
        <v>3.7273734939759033</v>
      </c>
      <c r="R131" s="46"/>
      <c r="S131" s="46"/>
      <c r="T131" s="46"/>
      <c r="U131" s="76">
        <f t="shared" si="476"/>
        <v>0</v>
      </c>
      <c r="V131" s="46">
        <f>T131+S131+R131+P131+N131+L131+K131+J131+I131+H131+G131+F131+11180+70125.8</f>
        <v>317054.93</v>
      </c>
      <c r="W131" s="76">
        <f t="shared" si="877"/>
        <v>1.9099694578313253</v>
      </c>
      <c r="X131" s="46">
        <f t="shared" si="477"/>
        <v>35228.325555555552</v>
      </c>
      <c r="Y131" s="96">
        <f t="shared" si="878"/>
        <v>37342.025088888884</v>
      </c>
      <c r="Z131" s="96">
        <f>Y131</f>
        <v>37342.025088888884</v>
      </c>
      <c r="AA131" s="96">
        <f t="shared" si="758"/>
        <v>448104.30106666661</v>
      </c>
      <c r="AB131" s="81">
        <f t="shared" si="503"/>
        <v>28020.666666666668</v>
      </c>
      <c r="AF131" s="96">
        <v>11400</v>
      </c>
      <c r="AG131" s="102">
        <f t="shared" si="493"/>
        <v>2.5440505643135901E-2</v>
      </c>
      <c r="AH131" s="96">
        <v>61601</v>
      </c>
      <c r="AI131" s="102">
        <f t="shared" si="493"/>
        <v>0.13747022702831707</v>
      </c>
      <c r="AJ131" s="96">
        <v>43314</v>
      </c>
      <c r="AK131" s="102">
        <f t="shared" ref="AK131:AM131" si="880">AJ131/$AA131</f>
        <v>9.6660531704104241E-2</v>
      </c>
      <c r="AL131" s="96">
        <v>32300</v>
      </c>
      <c r="AM131" s="102">
        <f t="shared" si="880"/>
        <v>7.2081432655551711E-2</v>
      </c>
      <c r="AN131" s="96">
        <v>42391</v>
      </c>
      <c r="AO131" s="102">
        <f t="shared" ref="AO131:AQ131" si="881">AN131/$AA131</f>
        <v>9.4600743396331052E-2</v>
      </c>
      <c r="AP131" s="96">
        <v>35555.96</v>
      </c>
      <c r="AQ131" s="102">
        <f t="shared" si="881"/>
        <v>7.9347508862027571E-2</v>
      </c>
      <c r="AR131" s="96">
        <v>53259.47</v>
      </c>
      <c r="AS131" s="102">
        <f t="shared" ref="AS131" si="882">AR131/$AA131</f>
        <v>0.11885507430573923</v>
      </c>
      <c r="AT131" s="96">
        <v>25350.3</v>
      </c>
      <c r="AU131" s="102">
        <f t="shared" ref="AU131" si="883">AT131/$AA131</f>
        <v>5.6572320193437539E-2</v>
      </c>
      <c r="AV131" s="96">
        <v>46550</v>
      </c>
      <c r="AW131" s="102">
        <f t="shared" ref="AW131:BC131" si="884">AV131/$AA131</f>
        <v>0.10388206470947159</v>
      </c>
      <c r="AX131" s="96"/>
      <c r="AY131" s="102">
        <f t="shared" si="884"/>
        <v>0</v>
      </c>
      <c r="AZ131" s="96"/>
      <c r="BA131" s="102">
        <f t="shared" si="884"/>
        <v>0</v>
      </c>
      <c r="BB131" s="96"/>
      <c r="BC131" s="102">
        <f t="shared" si="884"/>
        <v>0</v>
      </c>
      <c r="BD131" s="104">
        <f t="shared" si="879"/>
        <v>351721.73</v>
      </c>
      <c r="BE131" s="102">
        <f t="shared" ref="BE131" si="885">BD131/$AA131</f>
        <v>0.78491040849811589</v>
      </c>
    </row>
    <row r="132" spans="1:57" x14ac:dyDescent="0.25">
      <c r="A132" s="98" t="s">
        <v>31</v>
      </c>
      <c r="B132" s="94">
        <v>28378.147199999999</v>
      </c>
      <c r="C132" s="46">
        <v>3400</v>
      </c>
      <c r="D132" s="46">
        <f t="shared" si="874"/>
        <v>40800</v>
      </c>
      <c r="E132" s="95">
        <f t="shared" si="755"/>
        <v>0.43772599784104305</v>
      </c>
      <c r="F132" s="46">
        <f>2174.38+682.16+101.85</f>
        <v>2958.39</v>
      </c>
      <c r="G132" s="46">
        <f>2407.56+755.32+101.52</f>
        <v>3264.4</v>
      </c>
      <c r="H132" s="46">
        <f>2440.88+765.77+112.3</f>
        <v>3318.9500000000003</v>
      </c>
      <c r="I132" s="46">
        <f>2174.38+682.16+101.86</f>
        <v>2958.4</v>
      </c>
      <c r="J132" s="46">
        <f>2486.74+780.15+121.2</f>
        <v>3388.0899999999997</v>
      </c>
      <c r="K132" s="46">
        <f>2587.55+6193.45+101.47-142.76</f>
        <v>8739.7099999999991</v>
      </c>
      <c r="L132" s="46"/>
      <c r="M132" s="76">
        <f t="shared" si="875"/>
        <v>0</v>
      </c>
      <c r="N132" s="46"/>
      <c r="O132" s="76">
        <f t="shared" si="484"/>
        <v>0</v>
      </c>
      <c r="P132" s="46"/>
      <c r="Q132" s="76">
        <f t="shared" si="475"/>
        <v>0</v>
      </c>
      <c r="R132" s="46"/>
      <c r="S132" s="46"/>
      <c r="T132" s="46"/>
      <c r="U132" s="76">
        <f t="shared" si="476"/>
        <v>0</v>
      </c>
      <c r="V132" s="46">
        <f t="shared" si="876"/>
        <v>24627.94</v>
      </c>
      <c r="W132" s="76">
        <f t="shared" si="877"/>
        <v>0.60362598039215687</v>
      </c>
      <c r="X132" s="46">
        <f t="shared" si="477"/>
        <v>2736.4377777777777</v>
      </c>
      <c r="Y132" s="96">
        <f t="shared" si="878"/>
        <v>2900.6240444444443</v>
      </c>
      <c r="Z132" s="96">
        <v>0</v>
      </c>
      <c r="AA132" s="96">
        <f t="shared" si="758"/>
        <v>0</v>
      </c>
      <c r="AB132" s="81">
        <f t="shared" si="503"/>
        <v>0</v>
      </c>
      <c r="AF132" s="96">
        <f>1253.53+393.26+120.73</f>
        <v>1767.52</v>
      </c>
      <c r="AG132" s="102"/>
      <c r="AH132" s="96">
        <f>2109.99+661.95+98.34</f>
        <v>2870.2799999999997</v>
      </c>
      <c r="AI132" s="102"/>
      <c r="AJ132" s="96">
        <f>1232.49+386.66+58.06</f>
        <v>1677.21</v>
      </c>
      <c r="AK132" s="102"/>
      <c r="AL132" s="96">
        <v>104</v>
      </c>
      <c r="AM132" s="102"/>
      <c r="AN132" s="96">
        <f>372.47+41.57+5.2</f>
        <v>419.24</v>
      </c>
      <c r="AO132" s="102"/>
      <c r="AP132" s="96">
        <f>2207.72+8940.98+144.14</f>
        <v>11292.839999999998</v>
      </c>
      <c r="AQ132" s="102"/>
      <c r="AR132" s="96">
        <f>3195.5+680+85</f>
        <v>3960.5</v>
      </c>
      <c r="AS132" s="102"/>
      <c r="AT132" s="96">
        <f>2607.5+680+85</f>
        <v>3372.5</v>
      </c>
      <c r="AU132" s="102"/>
      <c r="AV132" s="96">
        <f>2503.5+680+85</f>
        <v>3268.5</v>
      </c>
      <c r="AW132" s="102"/>
      <c r="AX132" s="96"/>
      <c r="AY132" s="102"/>
      <c r="AZ132" s="96"/>
      <c r="BA132" s="102"/>
      <c r="BB132" s="96"/>
      <c r="BC132" s="102"/>
      <c r="BD132" s="104">
        <f t="shared" si="879"/>
        <v>28732.589999999997</v>
      </c>
      <c r="BE132" s="102"/>
    </row>
    <row r="133" spans="1:57" x14ac:dyDescent="0.25">
      <c r="A133" s="98" t="s">
        <v>78</v>
      </c>
      <c r="B133" s="94">
        <v>10248.992</v>
      </c>
      <c r="C133" s="46">
        <v>1100</v>
      </c>
      <c r="D133" s="46">
        <f t="shared" si="874"/>
        <v>13200</v>
      </c>
      <c r="E133" s="95">
        <f t="shared" si="755"/>
        <v>0.28793153512072212</v>
      </c>
      <c r="F133" s="46"/>
      <c r="G133" s="46">
        <v>2904.07</v>
      </c>
      <c r="H133" s="46">
        <v>3318.95</v>
      </c>
      <c r="I133" s="46"/>
      <c r="J133" s="46"/>
      <c r="K133" s="46">
        <v>10507.66</v>
      </c>
      <c r="L133" s="46"/>
      <c r="M133" s="76">
        <f t="shared" si="875"/>
        <v>0</v>
      </c>
      <c r="N133" s="46"/>
      <c r="O133" s="76">
        <f t="shared" ref="O133:O155" si="886">N133/C133</f>
        <v>0</v>
      </c>
      <c r="P133" s="46"/>
      <c r="Q133" s="76">
        <f t="shared" ref="Q133:Q155" si="887">P133/$C133</f>
        <v>0</v>
      </c>
      <c r="R133" s="46"/>
      <c r="S133" s="46"/>
      <c r="T133" s="46"/>
      <c r="U133" s="76" t="e">
        <f t="shared" ref="U133:U155" si="888">T133/I133</f>
        <v>#DIV/0!</v>
      </c>
      <c r="V133" s="46">
        <f t="shared" si="876"/>
        <v>16730.68</v>
      </c>
      <c r="W133" s="76">
        <f t="shared" si="877"/>
        <v>1.2674757575757576</v>
      </c>
      <c r="X133" s="46">
        <f t="shared" ref="X133:X155" si="889">V133/9</f>
        <v>1858.9644444444446</v>
      </c>
      <c r="Y133" s="96">
        <f t="shared" si="878"/>
        <v>1970.5023111111113</v>
      </c>
      <c r="Z133" s="96">
        <v>0</v>
      </c>
      <c r="AA133" s="96">
        <f t="shared" si="758"/>
        <v>0</v>
      </c>
      <c r="AB133" s="81">
        <f t="shared" si="503"/>
        <v>0</v>
      </c>
      <c r="AF133" s="96"/>
      <c r="AG133" s="102"/>
      <c r="AH133" s="96"/>
      <c r="AI133" s="102"/>
      <c r="AJ133" s="96"/>
      <c r="AK133" s="102"/>
      <c r="AL133" s="96"/>
      <c r="AM133" s="102"/>
      <c r="AN133" s="96"/>
      <c r="AO133" s="102"/>
      <c r="AP133" s="96">
        <v>9538.19</v>
      </c>
      <c r="AQ133" s="102"/>
      <c r="AR133" s="96"/>
      <c r="AS133" s="102"/>
      <c r="AT133" s="96"/>
      <c r="AU133" s="102"/>
      <c r="AV133" s="96"/>
      <c r="AW133" s="102"/>
      <c r="AX133" s="96"/>
      <c r="AY133" s="102"/>
      <c r="AZ133" s="96"/>
      <c r="BA133" s="102"/>
      <c r="BB133" s="96"/>
      <c r="BC133" s="102"/>
      <c r="BD133" s="104">
        <f t="shared" si="879"/>
        <v>9538.19</v>
      </c>
      <c r="BE133" s="102"/>
    </row>
    <row r="134" spans="1:57" x14ac:dyDescent="0.25">
      <c r="A134" s="98" t="s">
        <v>76</v>
      </c>
      <c r="B134" s="94">
        <v>6891.0815999999995</v>
      </c>
      <c r="C134" s="46">
        <v>355</v>
      </c>
      <c r="D134" s="46">
        <f t="shared" si="874"/>
        <v>4260</v>
      </c>
      <c r="E134" s="95">
        <f t="shared" si="755"/>
        <v>-0.3818096712132969</v>
      </c>
      <c r="F134" s="46"/>
      <c r="G134" s="46"/>
      <c r="H134" s="46"/>
      <c r="I134" s="46"/>
      <c r="J134" s="46"/>
      <c r="K134" s="46">
        <v>4450.5</v>
      </c>
      <c r="L134" s="46"/>
      <c r="M134" s="76">
        <f t="shared" si="875"/>
        <v>0</v>
      </c>
      <c r="N134" s="46"/>
      <c r="O134" s="76">
        <f t="shared" si="886"/>
        <v>0</v>
      </c>
      <c r="P134" s="46"/>
      <c r="Q134" s="76">
        <f t="shared" si="887"/>
        <v>0</v>
      </c>
      <c r="R134" s="46"/>
      <c r="S134" s="46"/>
      <c r="T134" s="46"/>
      <c r="U134" s="76" t="e">
        <f t="shared" si="888"/>
        <v>#DIV/0!</v>
      </c>
      <c r="V134" s="46">
        <f t="shared" si="876"/>
        <v>4450.5</v>
      </c>
      <c r="W134" s="76">
        <f t="shared" si="877"/>
        <v>1.044718309859155</v>
      </c>
      <c r="X134" s="46">
        <f t="shared" si="889"/>
        <v>494.5</v>
      </c>
      <c r="Y134" s="96">
        <f t="shared" si="878"/>
        <v>524.16999999999996</v>
      </c>
      <c r="Z134" s="96">
        <v>0</v>
      </c>
      <c r="AA134" s="96">
        <f t="shared" si="758"/>
        <v>0</v>
      </c>
      <c r="AB134" s="81">
        <f t="shared" si="503"/>
        <v>0</v>
      </c>
      <c r="AF134" s="96"/>
      <c r="AG134" s="102"/>
      <c r="AH134" s="96"/>
      <c r="AI134" s="102"/>
      <c r="AJ134" s="96"/>
      <c r="AK134" s="102"/>
      <c r="AL134" s="96"/>
      <c r="AM134" s="102"/>
      <c r="AN134" s="96"/>
      <c r="AO134" s="102"/>
      <c r="AP134" s="96">
        <v>2638.44</v>
      </c>
      <c r="AQ134" s="102"/>
      <c r="AR134" s="96"/>
      <c r="AS134" s="102"/>
      <c r="AT134" s="96"/>
      <c r="AU134" s="102"/>
      <c r="AV134" s="96"/>
      <c r="AW134" s="102"/>
      <c r="AX134" s="96"/>
      <c r="AY134" s="102"/>
      <c r="AZ134" s="96"/>
      <c r="BA134" s="102"/>
      <c r="BB134" s="96"/>
      <c r="BC134" s="102"/>
      <c r="BD134" s="104">
        <f t="shared" si="879"/>
        <v>2638.44</v>
      </c>
      <c r="BE134" s="102"/>
    </row>
    <row r="135" spans="1:57" x14ac:dyDescent="0.25">
      <c r="A135" s="60" t="s">
        <v>87</v>
      </c>
      <c r="B135" s="54">
        <v>11309.685504000005</v>
      </c>
      <c r="C135" s="38">
        <v>850</v>
      </c>
      <c r="D135" s="38">
        <f t="shared" si="874"/>
        <v>10200</v>
      </c>
      <c r="E135" s="35">
        <f t="shared" si="755"/>
        <v>-9.8118157539175743E-2</v>
      </c>
      <c r="F135" s="38">
        <f>130.44-2+88.32+546-2</f>
        <v>760.76</v>
      </c>
      <c r="G135" s="38">
        <f>130.44-2+92.53+364-2</f>
        <v>582.97</v>
      </c>
      <c r="H135" s="38">
        <f>131.39-2+92.53+572-2</f>
        <v>791.92</v>
      </c>
      <c r="I135" s="38">
        <f>131.68-2+89.17+4777.94-2</f>
        <v>4994.79</v>
      </c>
      <c r="J135" s="38">
        <f>131.39-2+89.17+1150-2</f>
        <v>1366.56</v>
      </c>
      <c r="K135" s="38">
        <f>89.17+991.06-2</f>
        <v>1078.23</v>
      </c>
      <c r="L135" s="38">
        <v>700</v>
      </c>
      <c r="M135" s="75">
        <f t="shared" si="875"/>
        <v>0.82352941176470584</v>
      </c>
      <c r="N135" s="38">
        <f>921.06+2664</f>
        <v>3585.06</v>
      </c>
      <c r="O135" s="75">
        <f t="shared" si="886"/>
        <v>4.2177176470588238</v>
      </c>
      <c r="P135" s="38">
        <v>468</v>
      </c>
      <c r="Q135" s="75">
        <f t="shared" si="887"/>
        <v>0.5505882352941176</v>
      </c>
      <c r="R135" s="38"/>
      <c r="S135" s="38"/>
      <c r="T135" s="38"/>
      <c r="U135" s="75">
        <f t="shared" si="888"/>
        <v>0</v>
      </c>
      <c r="V135" s="38">
        <f t="shared" si="876"/>
        <v>14328.289999999999</v>
      </c>
      <c r="W135" s="75">
        <f t="shared" si="877"/>
        <v>1.4047343137254902</v>
      </c>
      <c r="X135" s="38">
        <f t="shared" si="889"/>
        <v>1592.0322222222221</v>
      </c>
      <c r="Y135" s="83">
        <f t="shared" si="878"/>
        <v>1687.5541555555556</v>
      </c>
      <c r="Z135" s="83">
        <v>1751.2354444444443</v>
      </c>
      <c r="AA135" s="83">
        <f t="shared" si="758"/>
        <v>21014.82533333333</v>
      </c>
      <c r="AB135" s="81">
        <f t="shared" si="503"/>
        <v>1584.3533333333332</v>
      </c>
      <c r="AF135" s="83">
        <f>94.03+756+218.01+633.55+160.39-4</f>
        <v>1857.98</v>
      </c>
      <c r="AG135" s="103">
        <f t="shared" si="493"/>
        <v>8.841282145005061E-2</v>
      </c>
      <c r="AH135" s="96">
        <f>246.63-212.5+160.39-2+94.03+688.75-2+540</f>
        <v>1513.3</v>
      </c>
      <c r="AI135" s="103">
        <f t="shared" si="493"/>
        <v>7.2011067234502832E-2</v>
      </c>
      <c r="AJ135" s="83">
        <f>94.03</f>
        <v>94.03</v>
      </c>
      <c r="AK135" s="103">
        <f t="shared" ref="AK135:AM135" si="890">AJ135/$AA135</f>
        <v>4.4744602207495553E-3</v>
      </c>
      <c r="AL135" s="83">
        <f>161.14+1080</f>
        <v>1241.1399999999999</v>
      </c>
      <c r="AM135" s="103">
        <f t="shared" si="890"/>
        <v>5.9060210128481359E-2</v>
      </c>
      <c r="AN135" s="83">
        <f>161.14-2+112.31+1366</f>
        <v>1637.45</v>
      </c>
      <c r="AO135" s="103">
        <f t="shared" ref="AO135:AQ135" si="891">AN135/$AA135</f>
        <v>7.7918801323687753E-2</v>
      </c>
      <c r="AP135" s="83">
        <f>161.14+119.39+1935.65+500.22</f>
        <v>2716.4000000000005</v>
      </c>
      <c r="AQ135" s="103">
        <f t="shared" si="891"/>
        <v>0.12926112670045831</v>
      </c>
      <c r="AR135" s="83">
        <f>168.09+118.81+1961.2</f>
        <v>2248.1</v>
      </c>
      <c r="AS135" s="103">
        <f t="shared" ref="AS135" si="892">AR135/$AA135</f>
        <v>0.10697685868623923</v>
      </c>
      <c r="AT135" s="83">
        <f>161.14+113.83+773.45</f>
        <v>1048.42</v>
      </c>
      <c r="AU135" s="103">
        <f t="shared" ref="AU135" si="893">AT135/$AA135</f>
        <v>4.9889541472277456E-2</v>
      </c>
      <c r="AV135" s="83">
        <f>150+196.7+2041.85</f>
        <v>2388.5499999999997</v>
      </c>
      <c r="AW135" s="103">
        <f t="shared" ref="AW135:BC135" si="894">AV135/$AA135</f>
        <v>0.11366023567235296</v>
      </c>
      <c r="AX135" s="83"/>
      <c r="AY135" s="103">
        <f t="shared" si="894"/>
        <v>0</v>
      </c>
      <c r="AZ135" s="83"/>
      <c r="BA135" s="103">
        <f t="shared" si="894"/>
        <v>0</v>
      </c>
      <c r="BB135" s="83"/>
      <c r="BC135" s="103">
        <f t="shared" si="894"/>
        <v>0</v>
      </c>
      <c r="BD135" s="104">
        <f t="shared" si="879"/>
        <v>14745.369999999999</v>
      </c>
      <c r="BE135" s="103">
        <f t="shared" ref="BE135" si="895">BD135/$AA135</f>
        <v>0.70166512288880001</v>
      </c>
    </row>
    <row r="136" spans="1:57" ht="16.149999999999999" customHeight="1" x14ac:dyDescent="0.25">
      <c r="A136" s="63" t="s">
        <v>168</v>
      </c>
      <c r="B136" s="54">
        <v>60000</v>
      </c>
      <c r="C136" s="38">
        <v>4166.666666666667</v>
      </c>
      <c r="D136" s="38">
        <v>50000</v>
      </c>
      <c r="E136" s="35">
        <f t="shared" si="755"/>
        <v>-0.16666666666666663</v>
      </c>
      <c r="F136" s="38"/>
      <c r="G136" s="38">
        <f>4552.13+940</f>
        <v>5492.13</v>
      </c>
      <c r="H136" s="38">
        <f>945+1880</f>
        <v>2825</v>
      </c>
      <c r="I136" s="38">
        <v>23617.5</v>
      </c>
      <c r="J136" s="38">
        <f>9588.21+5590</f>
        <v>15178.21</v>
      </c>
      <c r="K136" s="38">
        <f>3571.28+10375.71</f>
        <v>13946.99</v>
      </c>
      <c r="L136" s="38">
        <v>2380</v>
      </c>
      <c r="M136" s="75">
        <f t="shared" si="875"/>
        <v>0.57119999999999993</v>
      </c>
      <c r="N136" s="38">
        <f>16480.43+7200</f>
        <v>23680.43</v>
      </c>
      <c r="O136" s="75">
        <f t="shared" si="886"/>
        <v>5.6833031999999992</v>
      </c>
      <c r="P136" s="38">
        <f>15395.78</f>
        <v>15395.78</v>
      </c>
      <c r="Q136" s="75">
        <f t="shared" si="887"/>
        <v>3.6949871999999999</v>
      </c>
      <c r="R136" s="38"/>
      <c r="S136" s="38"/>
      <c r="T136" s="38"/>
      <c r="U136" s="75">
        <f t="shared" si="888"/>
        <v>0</v>
      </c>
      <c r="V136" s="38">
        <f t="shared" si="876"/>
        <v>102516.04000000001</v>
      </c>
      <c r="W136" s="75">
        <f t="shared" si="877"/>
        <v>2.0503208000000002</v>
      </c>
      <c r="X136" s="38">
        <f t="shared" si="889"/>
        <v>11390.671111111113</v>
      </c>
      <c r="Y136" s="83">
        <f t="shared" si="878"/>
        <v>12074.111377777779</v>
      </c>
      <c r="Z136" s="83">
        <v>12529.738222222224</v>
      </c>
      <c r="AA136" s="83">
        <f t="shared" si="758"/>
        <v>150356.8586666667</v>
      </c>
      <c r="AB136" s="81">
        <f t="shared" si="503"/>
        <v>13818.736666666666</v>
      </c>
      <c r="AF136" s="83">
        <v>13001.56</v>
      </c>
      <c r="AG136" s="103">
        <f t="shared" ref="AG136:AI155" si="896">AF136/$AA136</f>
        <v>8.6471346337607252E-2</v>
      </c>
      <c r="AH136" s="96">
        <v>10698.46</v>
      </c>
      <c r="AI136" s="103">
        <f t="shared" si="896"/>
        <v>7.1153787694633375E-2</v>
      </c>
      <c r="AJ136" s="83">
        <f>11859.92+2200</f>
        <v>14059.92</v>
      </c>
      <c r="AK136" s="103">
        <f t="shared" ref="AK136:AM136" si="897">AJ136/$AA136</f>
        <v>9.3510333513751501E-2</v>
      </c>
      <c r="AL136" s="83">
        <v>7385.84</v>
      </c>
      <c r="AM136" s="103">
        <f t="shared" si="897"/>
        <v>4.9122069092797566E-2</v>
      </c>
      <c r="AN136" s="83">
        <f>588+2920</f>
        <v>3508</v>
      </c>
      <c r="AO136" s="103">
        <f t="shared" ref="AO136:AQ136" si="898">AN136/$AA136</f>
        <v>2.3331160487843478E-2</v>
      </c>
      <c r="AP136" s="83">
        <f>33264.93+1320</f>
        <v>34584.93</v>
      </c>
      <c r="AQ136" s="103">
        <f t="shared" si="898"/>
        <v>0.23001897157663412</v>
      </c>
      <c r="AR136" s="83">
        <f>1387.9-67.6+3240</f>
        <v>4560.3</v>
      </c>
      <c r="AS136" s="103">
        <f t="shared" ref="AS136" si="899">AR136/$AA136</f>
        <v>3.0329843549804052E-2</v>
      </c>
      <c r="AT136" s="83">
        <f>10016.22+3680</f>
        <v>13696.22</v>
      </c>
      <c r="AU136" s="103">
        <f t="shared" ref="AU136" si="900">AT136/$AA136</f>
        <v>9.1091421578338536E-2</v>
      </c>
      <c r="AV136" s="83">
        <f>3695+5200</f>
        <v>8895</v>
      </c>
      <c r="AW136" s="103">
        <f t="shared" ref="AW136:BC136" si="901">AV136/$AA136</f>
        <v>5.9159256710196041E-2</v>
      </c>
      <c r="AX136" s="83"/>
      <c r="AY136" s="103">
        <f t="shared" si="901"/>
        <v>0</v>
      </c>
      <c r="AZ136" s="83"/>
      <c r="BA136" s="103">
        <f t="shared" si="901"/>
        <v>0</v>
      </c>
      <c r="BB136" s="83"/>
      <c r="BC136" s="103">
        <f t="shared" si="901"/>
        <v>0</v>
      </c>
      <c r="BD136" s="104">
        <f t="shared" si="879"/>
        <v>110390.23</v>
      </c>
      <c r="BE136" s="103">
        <f t="shared" ref="BE136" si="902">BD136/$AA136</f>
        <v>0.73418819054160589</v>
      </c>
    </row>
    <row r="137" spans="1:57" x14ac:dyDescent="0.25">
      <c r="A137" s="63" t="s">
        <v>88</v>
      </c>
      <c r="B137" s="54">
        <v>8421.5455999999995</v>
      </c>
      <c r="C137" s="38">
        <v>4166.666666666667</v>
      </c>
      <c r="D137" s="38">
        <v>50000</v>
      </c>
      <c r="E137" s="35">
        <f t="shared" si="755"/>
        <v>4.9371524390962156</v>
      </c>
      <c r="F137" s="38"/>
      <c r="G137" s="38"/>
      <c r="H137" s="38">
        <v>856</v>
      </c>
      <c r="I137" s="38">
        <v>1551.65</v>
      </c>
      <c r="J137" s="38">
        <v>3500</v>
      </c>
      <c r="K137" s="38"/>
      <c r="L137" s="38">
        <v>5865.47</v>
      </c>
      <c r="M137" s="75">
        <f t="shared" si="875"/>
        <v>1.4077127999999999</v>
      </c>
      <c r="N137" s="38">
        <v>2494.5500000000002</v>
      </c>
      <c r="O137" s="75">
        <f t="shared" si="886"/>
        <v>0.598692</v>
      </c>
      <c r="P137" s="38"/>
      <c r="Q137" s="75">
        <f t="shared" si="887"/>
        <v>0</v>
      </c>
      <c r="R137" s="38"/>
      <c r="S137" s="38"/>
      <c r="T137" s="38"/>
      <c r="U137" s="75">
        <f t="shared" si="888"/>
        <v>0</v>
      </c>
      <c r="V137" s="38">
        <f t="shared" si="876"/>
        <v>14267.67</v>
      </c>
      <c r="W137" s="75">
        <f t="shared" si="877"/>
        <v>0.28535339999999998</v>
      </c>
      <c r="X137" s="38">
        <f t="shared" si="889"/>
        <v>1585.2966666666666</v>
      </c>
      <c r="Y137" s="83">
        <f t="shared" si="878"/>
        <v>1680.4144666666666</v>
      </c>
      <c r="Z137" s="83">
        <v>1743.8263333333334</v>
      </c>
      <c r="AA137" s="83">
        <f t="shared" si="758"/>
        <v>20925.916000000001</v>
      </c>
      <c r="AB137" s="81">
        <f t="shared" ref="AB137:AB155" si="903">(L137+N137+P137)/3</f>
        <v>2786.6733333333336</v>
      </c>
      <c r="AF137" s="83"/>
      <c r="AG137" s="103">
        <f t="shared" si="896"/>
        <v>0</v>
      </c>
      <c r="AH137" s="96">
        <v>2184.89</v>
      </c>
      <c r="AI137" s="103">
        <f t="shared" si="896"/>
        <v>0.10441072209216551</v>
      </c>
      <c r="AJ137" s="83"/>
      <c r="AK137" s="103">
        <f t="shared" ref="AK137:AM137" si="904">AJ137/$AA137</f>
        <v>0</v>
      </c>
      <c r="AL137" s="83"/>
      <c r="AM137" s="103">
        <f t="shared" si="904"/>
        <v>0</v>
      </c>
      <c r="AN137" s="83">
        <v>864.12</v>
      </c>
      <c r="AO137" s="103">
        <f t="shared" ref="AO137:AQ137" si="905">AN137/$AA137</f>
        <v>4.129424967585648E-2</v>
      </c>
      <c r="AP137" s="83"/>
      <c r="AQ137" s="103">
        <f t="shared" si="905"/>
        <v>0</v>
      </c>
      <c r="AR137" s="83"/>
      <c r="AS137" s="103">
        <f t="shared" ref="AS137" si="906">AR137/$AA137</f>
        <v>0</v>
      </c>
      <c r="AT137" s="83"/>
      <c r="AU137" s="103">
        <f t="shared" ref="AU137" si="907">AT137/$AA137</f>
        <v>0</v>
      </c>
      <c r="AV137" s="83">
        <v>377</v>
      </c>
      <c r="AW137" s="103">
        <f t="shared" ref="AW137:BC137" si="908">AV137/$AA137</f>
        <v>1.8015937749152774E-2</v>
      </c>
      <c r="AX137" s="83"/>
      <c r="AY137" s="103">
        <f t="shared" si="908"/>
        <v>0</v>
      </c>
      <c r="AZ137" s="83"/>
      <c r="BA137" s="103">
        <f t="shared" si="908"/>
        <v>0</v>
      </c>
      <c r="BB137" s="83"/>
      <c r="BC137" s="103">
        <f t="shared" si="908"/>
        <v>0</v>
      </c>
      <c r="BD137" s="104">
        <f t="shared" si="879"/>
        <v>3426.0099999999998</v>
      </c>
      <c r="BE137" s="103">
        <f t="shared" ref="BE137" si="909">BD137/$AA137</f>
        <v>0.16372090951717477</v>
      </c>
    </row>
    <row r="138" spans="1:57" ht="16.899999999999999" customHeight="1" x14ac:dyDescent="0.25">
      <c r="A138" s="63" t="s">
        <v>167</v>
      </c>
      <c r="B138" s="54">
        <v>14352</v>
      </c>
      <c r="C138" s="38">
        <v>7500</v>
      </c>
      <c r="D138" s="38">
        <v>90000</v>
      </c>
      <c r="E138" s="35">
        <f t="shared" si="755"/>
        <v>5.2709030100334449</v>
      </c>
      <c r="F138" s="38">
        <v>1290.92</v>
      </c>
      <c r="G138" s="38">
        <v>2292.85</v>
      </c>
      <c r="H138" s="38">
        <v>4157.42</v>
      </c>
      <c r="I138" s="38">
        <v>4415.09</v>
      </c>
      <c r="J138" s="38">
        <v>3851.94</v>
      </c>
      <c r="K138" s="38">
        <f>4150.5</f>
        <v>4150.5</v>
      </c>
      <c r="L138" s="38">
        <v>2770.73</v>
      </c>
      <c r="M138" s="75">
        <f t="shared" si="875"/>
        <v>0.36943066666666668</v>
      </c>
      <c r="N138" s="38">
        <v>3614.75</v>
      </c>
      <c r="O138" s="75">
        <f t="shared" si="886"/>
        <v>0.48196666666666665</v>
      </c>
      <c r="P138" s="38">
        <v>2553.83</v>
      </c>
      <c r="Q138" s="75">
        <f t="shared" si="887"/>
        <v>0.34051066666666668</v>
      </c>
      <c r="R138" s="38"/>
      <c r="S138" s="38"/>
      <c r="T138" s="38"/>
      <c r="U138" s="75">
        <f t="shared" si="888"/>
        <v>0</v>
      </c>
      <c r="V138" s="38">
        <f t="shared" si="876"/>
        <v>29098.03</v>
      </c>
      <c r="W138" s="75">
        <f t="shared" si="877"/>
        <v>0.32331144444444443</v>
      </c>
      <c r="X138" s="38">
        <f t="shared" si="889"/>
        <v>3233.1144444444444</v>
      </c>
      <c r="Y138" s="83">
        <f t="shared" si="878"/>
        <v>3427.101311111111</v>
      </c>
      <c r="Z138" s="83">
        <v>3556.4258888888889</v>
      </c>
      <c r="AA138" s="83">
        <f t="shared" si="758"/>
        <v>42677.110666666667</v>
      </c>
      <c r="AB138" s="81">
        <f t="shared" si="903"/>
        <v>2979.77</v>
      </c>
      <c r="AF138" s="83">
        <v>7222.7</v>
      </c>
      <c r="AG138" s="103">
        <f t="shared" si="896"/>
        <v>0.16924060432332297</v>
      </c>
      <c r="AH138" s="96">
        <v>5280.69</v>
      </c>
      <c r="AI138" s="103">
        <f t="shared" si="896"/>
        <v>0.12373588365073011</v>
      </c>
      <c r="AJ138" s="83">
        <v>4160.0600000000004</v>
      </c>
      <c r="AK138" s="103">
        <f t="shared" ref="AK138:AM138" si="910">AJ138/$AA138</f>
        <v>9.7477545574547339E-2</v>
      </c>
      <c r="AL138" s="83">
        <v>4256.68</v>
      </c>
      <c r="AM138" s="103">
        <f t="shared" si="910"/>
        <v>9.9741522645409961E-2</v>
      </c>
      <c r="AN138" s="83">
        <v>710.75</v>
      </c>
      <c r="AO138" s="103">
        <f t="shared" ref="AO138:AQ138" si="911">AN138/$AA138</f>
        <v>1.6654126507095933E-2</v>
      </c>
      <c r="AP138" s="83">
        <v>4426.46</v>
      </c>
      <c r="AQ138" s="103">
        <f t="shared" si="911"/>
        <v>0.10371976759563822</v>
      </c>
      <c r="AR138" s="83">
        <v>2173.34</v>
      </c>
      <c r="AS138" s="103">
        <f t="shared" ref="AS138" si="912">AR138/$AA138</f>
        <v>5.092519071815952E-2</v>
      </c>
      <c r="AT138" s="83">
        <v>415.16</v>
      </c>
      <c r="AU138" s="103">
        <f t="shared" ref="AU138" si="913">AT138/$AA138</f>
        <v>9.7279312848201887E-3</v>
      </c>
      <c r="AV138" s="83">
        <v>240.8</v>
      </c>
      <c r="AW138" s="103">
        <f t="shared" ref="AW138:BC138" si="914">AV138/$AA138</f>
        <v>5.6423688538989819E-3</v>
      </c>
      <c r="AX138" s="83"/>
      <c r="AY138" s="103">
        <f t="shared" si="914"/>
        <v>0</v>
      </c>
      <c r="AZ138" s="83"/>
      <c r="BA138" s="103">
        <f t="shared" si="914"/>
        <v>0</v>
      </c>
      <c r="BB138" s="83"/>
      <c r="BC138" s="103">
        <f t="shared" si="914"/>
        <v>0</v>
      </c>
      <c r="BD138" s="104">
        <f t="shared" si="879"/>
        <v>28886.639999999999</v>
      </c>
      <c r="BE138" s="103">
        <f t="shared" ref="BE138" si="915">BD138/$AA138</f>
        <v>0.67686494115362317</v>
      </c>
    </row>
    <row r="139" spans="1:57" x14ac:dyDescent="0.25">
      <c r="A139" s="63" t="s">
        <v>148</v>
      </c>
      <c r="B139" s="54">
        <v>2400</v>
      </c>
      <c r="C139" s="38">
        <v>833.33333333333337</v>
      </c>
      <c r="D139" s="38">
        <v>10000</v>
      </c>
      <c r="E139" s="35">
        <f t="shared" si="755"/>
        <v>3.166666666666667</v>
      </c>
      <c r="F139" s="38"/>
      <c r="G139" s="38"/>
      <c r="H139" s="38"/>
      <c r="I139" s="38">
        <v>675</v>
      </c>
      <c r="J139" s="38">
        <v>1080</v>
      </c>
      <c r="K139" s="38">
        <v>2841.6</v>
      </c>
      <c r="L139" s="38">
        <v>525</v>
      </c>
      <c r="M139" s="75">
        <f t="shared" si="875"/>
        <v>0.63</v>
      </c>
      <c r="N139" s="38">
        <v>497.7</v>
      </c>
      <c r="O139" s="75">
        <f t="shared" si="886"/>
        <v>0.59723999999999999</v>
      </c>
      <c r="P139" s="38">
        <v>1110</v>
      </c>
      <c r="Q139" s="75">
        <f t="shared" si="887"/>
        <v>1.3319999999999999</v>
      </c>
      <c r="R139" s="38"/>
      <c r="S139" s="38"/>
      <c r="T139" s="38"/>
      <c r="U139" s="75">
        <f t="shared" si="888"/>
        <v>0</v>
      </c>
      <c r="V139" s="38">
        <f t="shared" si="876"/>
        <v>6729.2999999999993</v>
      </c>
      <c r="W139" s="75">
        <f t="shared" si="877"/>
        <v>0.67292999999999992</v>
      </c>
      <c r="X139" s="38">
        <f t="shared" si="889"/>
        <v>747.69999999999993</v>
      </c>
      <c r="Y139" s="83">
        <f t="shared" si="878"/>
        <v>792.5619999999999</v>
      </c>
      <c r="Z139" s="83">
        <v>822.46999999999991</v>
      </c>
      <c r="AA139" s="83">
        <f t="shared" si="758"/>
        <v>9869.64</v>
      </c>
      <c r="AB139" s="81">
        <f t="shared" si="903"/>
        <v>710.9</v>
      </c>
      <c r="AF139" s="83"/>
      <c r="AG139" s="103">
        <f t="shared" si="896"/>
        <v>0</v>
      </c>
      <c r="AH139" s="96">
        <v>2807</v>
      </c>
      <c r="AI139" s="103">
        <f t="shared" si="896"/>
        <v>0.28440753664773993</v>
      </c>
      <c r="AJ139" s="83">
        <v>1655</v>
      </c>
      <c r="AK139" s="103">
        <f t="shared" ref="AK139:AM139" si="916">AJ139/$AA139</f>
        <v>0.16768595409761655</v>
      </c>
      <c r="AL139" s="83"/>
      <c r="AM139" s="103">
        <f t="shared" si="916"/>
        <v>0</v>
      </c>
      <c r="AN139" s="83">
        <v>371</v>
      </c>
      <c r="AO139" s="103">
        <f t="shared" ref="AO139:AQ139" si="917">AN139/$AA139</f>
        <v>3.7590023546958146E-2</v>
      </c>
      <c r="AP139" s="83">
        <v>1686</v>
      </c>
      <c r="AQ139" s="103">
        <f t="shared" si="917"/>
        <v>0.17082689946137855</v>
      </c>
      <c r="AR139" s="83"/>
      <c r="AS139" s="103">
        <f t="shared" ref="AS139" si="918">AR139/$AA139</f>
        <v>0</v>
      </c>
      <c r="AT139" s="83">
        <f>1325</f>
        <v>1325</v>
      </c>
      <c r="AU139" s="103">
        <f t="shared" ref="AU139" si="919">AT139/$AA139</f>
        <v>0.13425008409627912</v>
      </c>
      <c r="AV139" s="83"/>
      <c r="AW139" s="103">
        <f t="shared" ref="AW139:BC139" si="920">AV139/$AA139</f>
        <v>0</v>
      </c>
      <c r="AX139" s="83"/>
      <c r="AY139" s="103">
        <f t="shared" si="920"/>
        <v>0</v>
      </c>
      <c r="AZ139" s="83"/>
      <c r="BA139" s="103">
        <f t="shared" si="920"/>
        <v>0</v>
      </c>
      <c r="BB139" s="83"/>
      <c r="BC139" s="103">
        <f t="shared" si="920"/>
        <v>0</v>
      </c>
      <c r="BD139" s="104">
        <f t="shared" si="879"/>
        <v>7844</v>
      </c>
      <c r="BE139" s="103">
        <f t="shared" ref="BE139" si="921">BD139/$AA139</f>
        <v>0.79476049784997227</v>
      </c>
    </row>
    <row r="140" spans="1:57" x14ac:dyDescent="0.25">
      <c r="A140" s="63" t="s">
        <v>181</v>
      </c>
      <c r="B140" s="54">
        <v>20000</v>
      </c>
      <c r="C140" s="38">
        <v>5000</v>
      </c>
      <c r="D140" s="38">
        <v>60000</v>
      </c>
      <c r="E140" s="35">
        <f t="shared" ref="E140:E155" si="922">IFERROR((D140/B140)-1,0)</f>
        <v>2</v>
      </c>
      <c r="F140" s="38"/>
      <c r="G140" s="38">
        <v>8825</v>
      </c>
      <c r="H140" s="38">
        <f>1001.92+8480</f>
        <v>9481.92</v>
      </c>
      <c r="I140" s="38">
        <v>29527.67</v>
      </c>
      <c r="J140" s="38">
        <v>16703.11</v>
      </c>
      <c r="K140" s="38">
        <v>21362.36</v>
      </c>
      <c r="L140" s="38">
        <f>7121.73-38.19</f>
        <v>7083.54</v>
      </c>
      <c r="M140" s="75">
        <f t="shared" si="875"/>
        <v>1.4167080000000001</v>
      </c>
      <c r="N140" s="38">
        <v>3729.91</v>
      </c>
      <c r="O140" s="75">
        <f t="shared" si="886"/>
        <v>0.74598199999999992</v>
      </c>
      <c r="P140" s="38">
        <v>13667.68</v>
      </c>
      <c r="Q140" s="75">
        <f t="shared" si="887"/>
        <v>2.733536</v>
      </c>
      <c r="R140" s="38"/>
      <c r="S140" s="38"/>
      <c r="T140" s="38"/>
      <c r="U140" s="75">
        <f t="shared" si="888"/>
        <v>0</v>
      </c>
      <c r="V140" s="38">
        <f>T140+S140+R140+P140+N140+L140+K140+J140+I140+H140+G140+F140+4710</f>
        <v>115091.19</v>
      </c>
      <c r="W140" s="75">
        <f t="shared" si="877"/>
        <v>1.9181865</v>
      </c>
      <c r="X140" s="38">
        <f t="shared" si="889"/>
        <v>12787.91</v>
      </c>
      <c r="Y140" s="83">
        <f t="shared" si="878"/>
        <v>13555.184600000001</v>
      </c>
      <c r="Z140" s="83">
        <f>Y140</f>
        <v>13555.184600000001</v>
      </c>
      <c r="AA140" s="83">
        <f t="shared" si="758"/>
        <v>162662.21520000001</v>
      </c>
      <c r="AB140" s="81">
        <f t="shared" si="903"/>
        <v>8160.376666666667</v>
      </c>
      <c r="AF140" s="83">
        <f>20+3807.8</f>
        <v>3827.8</v>
      </c>
      <c r="AG140" s="103">
        <f t="shared" si="896"/>
        <v>2.3532201349241184E-2</v>
      </c>
      <c r="AH140" s="96">
        <v>14173.03</v>
      </c>
      <c r="AI140" s="103">
        <f t="shared" si="896"/>
        <v>8.713166719495162E-2</v>
      </c>
      <c r="AJ140" s="83">
        <v>9583.93</v>
      </c>
      <c r="AK140" s="103">
        <f t="shared" ref="AK140:AM140" si="923">AJ140/$AA140</f>
        <v>5.8919214817135968E-2</v>
      </c>
      <c r="AL140" s="83">
        <v>11013.97</v>
      </c>
      <c r="AM140" s="103">
        <f t="shared" si="923"/>
        <v>6.7710684908956029E-2</v>
      </c>
      <c r="AN140" s="83">
        <f>7042.45-250</f>
        <v>6792.45</v>
      </c>
      <c r="AO140" s="103">
        <f t="shared" ref="AO140:AQ140" si="924">AN140/$AA140</f>
        <v>4.1758007485932724E-2</v>
      </c>
      <c r="AP140" s="83">
        <v>18528.96</v>
      </c>
      <c r="AQ140" s="103">
        <f t="shared" si="924"/>
        <v>0.11391065821412716</v>
      </c>
      <c r="AR140" s="83">
        <v>2072.83</v>
      </c>
      <c r="AS140" s="103">
        <f t="shared" ref="AS140" si="925">AR140/$AA140</f>
        <v>1.2743156100827525E-2</v>
      </c>
      <c r="AT140" s="83">
        <f>5002.1-310</f>
        <v>4692.1000000000004</v>
      </c>
      <c r="AU140" s="103">
        <f t="shared" ref="AU140" si="926">AT140/$AA140</f>
        <v>2.8845666427392908E-2</v>
      </c>
      <c r="AV140" s="83">
        <v>21614.33</v>
      </c>
      <c r="AW140" s="103">
        <f t="shared" ref="AW140:BC140" si="927">AV140/$AA140</f>
        <v>0.13287861580776014</v>
      </c>
      <c r="AX140" s="83"/>
      <c r="AY140" s="103">
        <f t="shared" si="927"/>
        <v>0</v>
      </c>
      <c r="AZ140" s="83"/>
      <c r="BA140" s="103">
        <f t="shared" si="927"/>
        <v>0</v>
      </c>
      <c r="BB140" s="83"/>
      <c r="BC140" s="103">
        <f t="shared" si="927"/>
        <v>0</v>
      </c>
      <c r="BD140" s="104">
        <f t="shared" si="879"/>
        <v>92299.400000000009</v>
      </c>
      <c r="BE140" s="103">
        <f t="shared" ref="BE140" si="928">BD140/$AA140</f>
        <v>0.56742987230632524</v>
      </c>
    </row>
    <row r="141" spans="1:57" s="101" customFormat="1" x14ac:dyDescent="0.25">
      <c r="A141" s="98" t="s">
        <v>169</v>
      </c>
      <c r="B141" s="94">
        <v>6000</v>
      </c>
      <c r="C141" s="46">
        <v>1666.6666666666667</v>
      </c>
      <c r="D141" s="46">
        <v>20000</v>
      </c>
      <c r="E141" s="95">
        <f t="shared" si="922"/>
        <v>2.3333333333333335</v>
      </c>
      <c r="F141" s="46"/>
      <c r="G141" s="46"/>
      <c r="H141" s="46"/>
      <c r="I141" s="46"/>
      <c r="J141" s="46"/>
      <c r="K141" s="46"/>
      <c r="L141" s="46">
        <f>3110.84-124.63</f>
        <v>2986.21</v>
      </c>
      <c r="M141" s="76">
        <f t="shared" si="875"/>
        <v>1.7917259999999999</v>
      </c>
      <c r="N141" s="46">
        <v>536</v>
      </c>
      <c r="O141" s="76">
        <f t="shared" si="886"/>
        <v>0.3216</v>
      </c>
      <c r="P141" s="46"/>
      <c r="Q141" s="76">
        <f t="shared" si="887"/>
        <v>0</v>
      </c>
      <c r="R141" s="46"/>
      <c r="S141" s="46"/>
      <c r="T141" s="46"/>
      <c r="U141" s="76" t="e">
        <f t="shared" si="888"/>
        <v>#DIV/0!</v>
      </c>
      <c r="V141" s="46">
        <f t="shared" si="876"/>
        <v>3522.21</v>
      </c>
      <c r="W141" s="76">
        <f t="shared" si="877"/>
        <v>0.1761105</v>
      </c>
      <c r="X141" s="46">
        <f t="shared" si="889"/>
        <v>391.35666666666668</v>
      </c>
      <c r="Y141" s="96">
        <f t="shared" si="878"/>
        <v>414.83806666666669</v>
      </c>
      <c r="Z141" s="96">
        <v>1835</v>
      </c>
      <c r="AA141" s="96">
        <f t="shared" si="758"/>
        <v>22020</v>
      </c>
      <c r="AB141" s="100">
        <f t="shared" si="903"/>
        <v>1174.07</v>
      </c>
      <c r="AC141" s="101" t="s">
        <v>196</v>
      </c>
      <c r="AF141" s="96"/>
      <c r="AG141" s="102">
        <f t="shared" si="896"/>
        <v>0</v>
      </c>
      <c r="AH141" s="96"/>
      <c r="AI141" s="102">
        <f t="shared" si="896"/>
        <v>0</v>
      </c>
      <c r="AJ141" s="96"/>
      <c r="AK141" s="102">
        <f t="shared" ref="AK141:AM141" si="929">AJ141/$AA141</f>
        <v>0</v>
      </c>
      <c r="AL141" s="96"/>
      <c r="AM141" s="102">
        <f t="shared" si="929"/>
        <v>0</v>
      </c>
      <c r="AN141" s="96"/>
      <c r="AO141" s="102">
        <f t="shared" ref="AO141:AQ141" si="930">AN141/$AA141</f>
        <v>0</v>
      </c>
      <c r="AP141" s="96"/>
      <c r="AQ141" s="102">
        <f t="shared" si="930"/>
        <v>0</v>
      </c>
      <c r="AR141" s="96"/>
      <c r="AS141" s="102">
        <f t="shared" ref="AS141" si="931">AR141/$AA141</f>
        <v>0</v>
      </c>
      <c r="AT141" s="96"/>
      <c r="AU141" s="102">
        <f t="shared" ref="AU141" si="932">AT141/$AA141</f>
        <v>0</v>
      </c>
      <c r="AV141" s="96"/>
      <c r="AW141" s="102">
        <f t="shared" ref="AW141:BC141" si="933">AV141/$AA141</f>
        <v>0</v>
      </c>
      <c r="AX141" s="96"/>
      <c r="AY141" s="102">
        <f t="shared" si="933"/>
        <v>0</v>
      </c>
      <c r="AZ141" s="96"/>
      <c r="BA141" s="102">
        <f t="shared" si="933"/>
        <v>0</v>
      </c>
      <c r="BB141" s="96"/>
      <c r="BC141" s="102">
        <f t="shared" si="933"/>
        <v>0</v>
      </c>
      <c r="BD141" s="104">
        <f t="shared" si="879"/>
        <v>0</v>
      </c>
      <c r="BE141" s="102">
        <f t="shared" ref="BE141" si="934">BD141/$AA141</f>
        <v>0</v>
      </c>
    </row>
    <row r="142" spans="1:57" x14ac:dyDescent="0.25">
      <c r="A142" s="64" t="s">
        <v>163</v>
      </c>
      <c r="B142" s="65">
        <v>145035</v>
      </c>
      <c r="C142" s="43">
        <v>833.33333333333337</v>
      </c>
      <c r="D142" s="43">
        <f>D143</f>
        <v>10000</v>
      </c>
      <c r="E142" s="35">
        <f t="shared" si="922"/>
        <v>-0.93105112559037473</v>
      </c>
      <c r="F142" s="43">
        <f>F143</f>
        <v>0</v>
      </c>
      <c r="G142" s="43">
        <f t="shared" ref="G142:V142" si="935">G143</f>
        <v>0</v>
      </c>
      <c r="H142" s="43">
        <f t="shared" si="935"/>
        <v>0</v>
      </c>
      <c r="I142" s="43">
        <f t="shared" si="935"/>
        <v>0</v>
      </c>
      <c r="J142" s="43">
        <f t="shared" si="935"/>
        <v>0</v>
      </c>
      <c r="K142" s="43">
        <f t="shared" si="935"/>
        <v>0</v>
      </c>
      <c r="L142" s="43">
        <f t="shared" si="935"/>
        <v>0</v>
      </c>
      <c r="M142" s="79">
        <f t="shared" si="875"/>
        <v>0</v>
      </c>
      <c r="N142" s="43">
        <f t="shared" si="935"/>
        <v>0</v>
      </c>
      <c r="O142" s="79">
        <f t="shared" si="886"/>
        <v>0</v>
      </c>
      <c r="P142" s="43">
        <f t="shared" si="935"/>
        <v>0</v>
      </c>
      <c r="Q142" s="79">
        <f t="shared" si="887"/>
        <v>0</v>
      </c>
      <c r="R142" s="43">
        <f t="shared" si="935"/>
        <v>0</v>
      </c>
      <c r="S142" s="43">
        <f t="shared" si="935"/>
        <v>0</v>
      </c>
      <c r="T142" s="43">
        <f t="shared" si="935"/>
        <v>0</v>
      </c>
      <c r="U142" s="79" t="e">
        <f t="shared" si="888"/>
        <v>#DIV/0!</v>
      </c>
      <c r="V142" s="43">
        <f t="shared" si="935"/>
        <v>0</v>
      </c>
      <c r="W142" s="79">
        <f t="shared" si="877"/>
        <v>0</v>
      </c>
      <c r="X142" s="43">
        <f t="shared" si="889"/>
        <v>0</v>
      </c>
      <c r="Y142" s="43">
        <f t="shared" ref="Y142" si="936">Y143</f>
        <v>0</v>
      </c>
      <c r="Z142" s="43">
        <v>0</v>
      </c>
      <c r="AA142" s="43">
        <f>AA143</f>
        <v>0</v>
      </c>
      <c r="AB142" s="81">
        <f t="shared" si="903"/>
        <v>0</v>
      </c>
      <c r="AF142" s="43">
        <f>AF143</f>
        <v>0</v>
      </c>
      <c r="AG142" s="79"/>
      <c r="AH142" s="43">
        <f>AH143</f>
        <v>0</v>
      </c>
      <c r="AI142" s="79"/>
      <c r="AJ142" s="43">
        <f>AJ143</f>
        <v>0</v>
      </c>
      <c r="AK142" s="79"/>
      <c r="AL142" s="43">
        <f>AL143</f>
        <v>0</v>
      </c>
      <c r="AM142" s="79"/>
      <c r="AN142" s="43">
        <f>AN143</f>
        <v>0</v>
      </c>
      <c r="AO142" s="79"/>
      <c r="AP142" s="43">
        <f>AP143</f>
        <v>0</v>
      </c>
      <c r="AQ142" s="79"/>
      <c r="AR142" s="43">
        <f>AR143</f>
        <v>0</v>
      </c>
      <c r="AS142" s="79"/>
      <c r="AT142" s="43">
        <f>AT143</f>
        <v>0</v>
      </c>
      <c r="AU142" s="79"/>
      <c r="AV142" s="43">
        <f>AV143</f>
        <v>0</v>
      </c>
      <c r="AW142" s="79"/>
      <c r="AX142" s="43">
        <f>AX143</f>
        <v>0</v>
      </c>
      <c r="AY142" s="79"/>
      <c r="AZ142" s="43">
        <f>AZ143</f>
        <v>0</v>
      </c>
      <c r="BA142" s="79"/>
      <c r="BB142" s="43">
        <f>BB143</f>
        <v>0</v>
      </c>
      <c r="BC142" s="79"/>
      <c r="BD142" s="43">
        <f t="shared" ref="BD142" si="937">BD143</f>
        <v>0</v>
      </c>
      <c r="BE142" s="79"/>
    </row>
    <row r="143" spans="1:57" x14ac:dyDescent="0.25">
      <c r="A143" s="58" t="s">
        <v>164</v>
      </c>
      <c r="B143" s="59">
        <v>0</v>
      </c>
      <c r="C143" s="42">
        <v>833.33333333333337</v>
      </c>
      <c r="D143" s="42">
        <f>SUM(D144)</f>
        <v>10000</v>
      </c>
      <c r="E143" s="35">
        <f t="shared" si="922"/>
        <v>0</v>
      </c>
      <c r="F143" s="42">
        <f>SUM(F144)</f>
        <v>0</v>
      </c>
      <c r="G143" s="42">
        <f t="shared" ref="G143:V143" si="938">SUM(G144)</f>
        <v>0</v>
      </c>
      <c r="H143" s="42">
        <f t="shared" si="938"/>
        <v>0</v>
      </c>
      <c r="I143" s="42">
        <f t="shared" si="938"/>
        <v>0</v>
      </c>
      <c r="J143" s="42">
        <f t="shared" si="938"/>
        <v>0</v>
      </c>
      <c r="K143" s="42">
        <f t="shared" si="938"/>
        <v>0</v>
      </c>
      <c r="L143" s="42">
        <f t="shared" si="938"/>
        <v>0</v>
      </c>
      <c r="M143" s="78">
        <f t="shared" si="875"/>
        <v>0</v>
      </c>
      <c r="N143" s="42">
        <f t="shared" si="938"/>
        <v>0</v>
      </c>
      <c r="O143" s="78">
        <f t="shared" si="886"/>
        <v>0</v>
      </c>
      <c r="P143" s="42">
        <f t="shared" si="938"/>
        <v>0</v>
      </c>
      <c r="Q143" s="78">
        <f t="shared" si="887"/>
        <v>0</v>
      </c>
      <c r="R143" s="42">
        <f t="shared" si="938"/>
        <v>0</v>
      </c>
      <c r="S143" s="42">
        <f t="shared" si="938"/>
        <v>0</v>
      </c>
      <c r="T143" s="42">
        <f t="shared" si="938"/>
        <v>0</v>
      </c>
      <c r="U143" s="78" t="e">
        <f t="shared" si="888"/>
        <v>#DIV/0!</v>
      </c>
      <c r="V143" s="42">
        <f t="shared" si="938"/>
        <v>0</v>
      </c>
      <c r="W143" s="78">
        <f t="shared" si="877"/>
        <v>0</v>
      </c>
      <c r="X143" s="42">
        <f t="shared" si="889"/>
        <v>0</v>
      </c>
      <c r="Y143" s="42">
        <f t="shared" ref="Y143" si="939">SUM(Y144)</f>
        <v>0</v>
      </c>
      <c r="Z143" s="42">
        <v>0</v>
      </c>
      <c r="AA143" s="42">
        <f>SUM(AA144)</f>
        <v>0</v>
      </c>
      <c r="AB143" s="81">
        <f t="shared" si="903"/>
        <v>0</v>
      </c>
      <c r="AF143" s="42">
        <f>SUM(AF144)</f>
        <v>0</v>
      </c>
      <c r="AG143" s="78"/>
      <c r="AH143" s="42">
        <f>SUM(AH144)</f>
        <v>0</v>
      </c>
      <c r="AI143" s="78"/>
      <c r="AJ143" s="42">
        <f>SUM(AJ144)</f>
        <v>0</v>
      </c>
      <c r="AK143" s="78"/>
      <c r="AL143" s="42">
        <f>SUM(AL144)</f>
        <v>0</v>
      </c>
      <c r="AM143" s="78"/>
      <c r="AN143" s="42">
        <f>SUM(AN144)</f>
        <v>0</v>
      </c>
      <c r="AO143" s="78"/>
      <c r="AP143" s="42">
        <f>SUM(AP144)</f>
        <v>0</v>
      </c>
      <c r="AQ143" s="78"/>
      <c r="AR143" s="42">
        <f>SUM(AR144)</f>
        <v>0</v>
      </c>
      <c r="AS143" s="78"/>
      <c r="AT143" s="42">
        <f>SUM(AT144)</f>
        <v>0</v>
      </c>
      <c r="AU143" s="78"/>
      <c r="AV143" s="42">
        <f>SUM(AV144)</f>
        <v>0</v>
      </c>
      <c r="AW143" s="78"/>
      <c r="AX143" s="42">
        <f>SUM(AX144)</f>
        <v>0</v>
      </c>
      <c r="AY143" s="78"/>
      <c r="AZ143" s="42">
        <f>SUM(AZ144)</f>
        <v>0</v>
      </c>
      <c r="BA143" s="78"/>
      <c r="BB143" s="42">
        <f>SUM(BB144)</f>
        <v>0</v>
      </c>
      <c r="BC143" s="78"/>
      <c r="BD143" s="42">
        <f t="shared" ref="BD143" si="940">SUM(BD144)</f>
        <v>0</v>
      </c>
      <c r="BE143" s="78"/>
    </row>
    <row r="144" spans="1:57" x14ac:dyDescent="0.25">
      <c r="A144" s="60" t="s">
        <v>165</v>
      </c>
      <c r="B144" s="54">
        <v>0</v>
      </c>
      <c r="C144" s="38">
        <v>833.33333333333337</v>
      </c>
      <c r="D144" s="38">
        <v>10000</v>
      </c>
      <c r="E144" s="35">
        <f t="shared" si="922"/>
        <v>0</v>
      </c>
      <c r="F144" s="38"/>
      <c r="G144" s="38"/>
      <c r="H144" s="38"/>
      <c r="I144" s="38"/>
      <c r="J144" s="38"/>
      <c r="K144" s="38"/>
      <c r="L144" s="38"/>
      <c r="M144" s="75">
        <f t="shared" si="875"/>
        <v>0</v>
      </c>
      <c r="N144" s="38"/>
      <c r="O144" s="75">
        <f t="shared" si="886"/>
        <v>0</v>
      </c>
      <c r="P144" s="38"/>
      <c r="Q144" s="75">
        <f t="shared" si="887"/>
        <v>0</v>
      </c>
      <c r="R144" s="38"/>
      <c r="S144" s="38"/>
      <c r="T144" s="38"/>
      <c r="U144" s="75" t="e">
        <f t="shared" si="888"/>
        <v>#DIV/0!</v>
      </c>
      <c r="V144" s="38">
        <f>T144+S144+R144+P144+N144+L144+K144+J144+I144+H144+G144+F144</f>
        <v>0</v>
      </c>
      <c r="W144" s="75">
        <f t="shared" si="877"/>
        <v>0</v>
      </c>
      <c r="X144" s="38">
        <f t="shared" si="889"/>
        <v>0</v>
      </c>
      <c r="Y144" s="83">
        <f>X144+(X144*$Y$2)</f>
        <v>0</v>
      </c>
      <c r="Z144" s="83">
        <v>0</v>
      </c>
      <c r="AA144" s="83">
        <f t="shared" si="758"/>
        <v>0</v>
      </c>
      <c r="AB144" s="81">
        <f t="shared" si="903"/>
        <v>0</v>
      </c>
      <c r="AF144" s="83"/>
      <c r="AG144" s="103"/>
      <c r="AH144" s="83"/>
      <c r="AI144" s="103"/>
      <c r="AJ144" s="83"/>
      <c r="AK144" s="103"/>
      <c r="AL144" s="83"/>
      <c r="AM144" s="103"/>
      <c r="AN144" s="83"/>
      <c r="AO144" s="103"/>
      <c r="AP144" s="83"/>
      <c r="AQ144" s="103"/>
      <c r="AR144" s="83"/>
      <c r="AS144" s="103"/>
      <c r="AT144" s="83"/>
      <c r="AU144" s="103"/>
      <c r="AV144" s="83"/>
      <c r="AW144" s="103"/>
      <c r="AX144" s="83"/>
      <c r="AY144" s="103"/>
      <c r="AZ144" s="83"/>
      <c r="BA144" s="103"/>
      <c r="BB144" s="83"/>
      <c r="BC144" s="103"/>
      <c r="BD144" s="104">
        <f>AF144+AH144+AJ144+AL144+AN144+AP144+AR144+AT144+AV144+AX144+AZ144+BB144</f>
        <v>0</v>
      </c>
      <c r="BE144" s="103"/>
    </row>
    <row r="145" spans="1:57" x14ac:dyDescent="0.25">
      <c r="A145" s="64" t="s">
        <v>89</v>
      </c>
      <c r="B145" s="65">
        <v>145035</v>
      </c>
      <c r="C145" s="43">
        <v>23000</v>
      </c>
      <c r="D145" s="43">
        <f>D146</f>
        <v>276000</v>
      </c>
      <c r="E145" s="35">
        <f t="shared" si="922"/>
        <v>0.90298893370565736</v>
      </c>
      <c r="F145" s="43">
        <f>F146</f>
        <v>15738.240000000002</v>
      </c>
      <c r="G145" s="43">
        <f t="shared" ref="G145:V145" si="941">G146</f>
        <v>4911.79</v>
      </c>
      <c r="H145" s="43">
        <f t="shared" si="941"/>
        <v>19680.510000000002</v>
      </c>
      <c r="I145" s="43">
        <f t="shared" si="941"/>
        <v>6157.29</v>
      </c>
      <c r="J145" s="43">
        <f t="shared" si="941"/>
        <v>23390.260000000002</v>
      </c>
      <c r="K145" s="43">
        <f t="shared" si="941"/>
        <v>16049.37</v>
      </c>
      <c r="L145" s="43">
        <f t="shared" si="941"/>
        <v>15927.52</v>
      </c>
      <c r="M145" s="79">
        <f t="shared" si="875"/>
        <v>0.69250086956521739</v>
      </c>
      <c r="N145" s="43">
        <f t="shared" si="941"/>
        <v>29403.11</v>
      </c>
      <c r="O145" s="79">
        <f t="shared" si="886"/>
        <v>1.2783960869565218</v>
      </c>
      <c r="P145" s="43">
        <f t="shared" si="941"/>
        <v>23356.739999999998</v>
      </c>
      <c r="Q145" s="79">
        <f t="shared" si="887"/>
        <v>1.0155104347826087</v>
      </c>
      <c r="R145" s="43">
        <f t="shared" si="941"/>
        <v>0</v>
      </c>
      <c r="S145" s="43">
        <f t="shared" si="941"/>
        <v>0</v>
      </c>
      <c r="T145" s="43">
        <f t="shared" si="941"/>
        <v>0</v>
      </c>
      <c r="U145" s="79">
        <f t="shared" si="888"/>
        <v>0</v>
      </c>
      <c r="V145" s="43">
        <f t="shared" si="941"/>
        <v>154614.82999999999</v>
      </c>
      <c r="W145" s="79">
        <f t="shared" si="877"/>
        <v>0.56019865942028979</v>
      </c>
      <c r="X145" s="43">
        <f t="shared" si="889"/>
        <v>17179.425555555554</v>
      </c>
      <c r="Y145" s="43">
        <f t="shared" ref="Y145" si="942">Y146</f>
        <v>18210.191088888889</v>
      </c>
      <c r="Z145" s="43">
        <v>18897.368111111111</v>
      </c>
      <c r="AA145" s="43">
        <f>AA146</f>
        <v>226768.41733333335</v>
      </c>
      <c r="AB145" s="81">
        <f t="shared" si="903"/>
        <v>22895.789999999997</v>
      </c>
      <c r="AC145" t="s">
        <v>194</v>
      </c>
      <c r="AF145" s="43">
        <f>AF146</f>
        <v>14796.750000000002</v>
      </c>
      <c r="AG145" s="79">
        <f t="shared" si="896"/>
        <v>6.5250488467491652E-2</v>
      </c>
      <c r="AH145" s="43">
        <f>AH146</f>
        <v>9484.73</v>
      </c>
      <c r="AI145" s="79">
        <f t="shared" si="896"/>
        <v>4.1825621537315422E-2</v>
      </c>
      <c r="AJ145" s="43">
        <f>AJ146</f>
        <v>10237.779999999999</v>
      </c>
      <c r="AK145" s="79">
        <f t="shared" ref="AK145:AM145" si="943">AJ145/$AA145</f>
        <v>4.514641024702834E-2</v>
      </c>
      <c r="AL145" s="43">
        <f>AL146</f>
        <v>10502.33</v>
      </c>
      <c r="AM145" s="79">
        <f t="shared" si="943"/>
        <v>4.6313018909341003E-2</v>
      </c>
      <c r="AN145" s="43">
        <f>AN146</f>
        <v>7881.03</v>
      </c>
      <c r="AO145" s="79">
        <f t="shared" ref="AO145:AQ145" si="944">AN145/$AA145</f>
        <v>3.4753649086924875E-2</v>
      </c>
      <c r="AP145" s="43">
        <f>AP146</f>
        <v>40668.42</v>
      </c>
      <c r="AQ145" s="79">
        <f t="shared" si="944"/>
        <v>0.17933899472526782</v>
      </c>
      <c r="AR145" s="43">
        <f>AR146</f>
        <v>14271.630000000001</v>
      </c>
      <c r="AS145" s="79">
        <f t="shared" ref="AS145" si="945">AR145/$AA145</f>
        <v>6.2934822087776565E-2</v>
      </c>
      <c r="AT145" s="43">
        <f>AT146</f>
        <v>18667.79</v>
      </c>
      <c r="AU145" s="79">
        <f t="shared" ref="AU145" si="946">AT145/$AA145</f>
        <v>8.2320943187426693E-2</v>
      </c>
      <c r="AV145" s="43">
        <f>AV146</f>
        <v>85474.4</v>
      </c>
      <c r="AW145" s="79">
        <f t="shared" ref="AW145:BC145" si="947">AV145/$AA145</f>
        <v>0.37692374010953539</v>
      </c>
      <c r="AX145" s="43">
        <f>AX146</f>
        <v>0</v>
      </c>
      <c r="AY145" s="79">
        <f t="shared" si="947"/>
        <v>0</v>
      </c>
      <c r="AZ145" s="43">
        <f>AZ146</f>
        <v>0</v>
      </c>
      <c r="BA145" s="79">
        <f t="shared" si="947"/>
        <v>0</v>
      </c>
      <c r="BB145" s="43">
        <f>BB146</f>
        <v>0</v>
      </c>
      <c r="BC145" s="79">
        <f t="shared" si="947"/>
        <v>0</v>
      </c>
      <c r="BD145" s="43">
        <f t="shared" ref="BD145" si="948">BD146</f>
        <v>211984.86</v>
      </c>
      <c r="BE145" s="79">
        <f t="shared" ref="BE145" si="949">BD145/$AA145</f>
        <v>0.93480768835810768</v>
      </c>
    </row>
    <row r="146" spans="1:57" x14ac:dyDescent="0.25">
      <c r="A146" s="58" t="s">
        <v>90</v>
      </c>
      <c r="B146" s="59">
        <v>145035.01653333334</v>
      </c>
      <c r="C146" s="42">
        <v>23000</v>
      </c>
      <c r="D146" s="42">
        <f>SUM(D147:D151)</f>
        <v>276000</v>
      </c>
      <c r="E146" s="35">
        <f t="shared" si="922"/>
        <v>0.90298871677355952</v>
      </c>
      <c r="F146" s="42">
        <f>SUM(F147:F151)</f>
        <v>15738.240000000002</v>
      </c>
      <c r="G146" s="42">
        <f t="shared" ref="G146:V146" si="950">SUM(G147:G151)</f>
        <v>4911.79</v>
      </c>
      <c r="H146" s="42">
        <f t="shared" si="950"/>
        <v>19680.510000000002</v>
      </c>
      <c r="I146" s="42">
        <f t="shared" si="950"/>
        <v>6157.29</v>
      </c>
      <c r="J146" s="42">
        <f t="shared" si="950"/>
        <v>23390.260000000002</v>
      </c>
      <c r="K146" s="42">
        <f t="shared" si="950"/>
        <v>16049.37</v>
      </c>
      <c r="L146" s="42">
        <f t="shared" si="950"/>
        <v>15927.52</v>
      </c>
      <c r="M146" s="78">
        <f t="shared" si="875"/>
        <v>0.69250086956521739</v>
      </c>
      <c r="N146" s="42">
        <f t="shared" si="950"/>
        <v>29403.11</v>
      </c>
      <c r="O146" s="78">
        <f t="shared" si="886"/>
        <v>1.2783960869565218</v>
      </c>
      <c r="P146" s="42">
        <f t="shared" si="950"/>
        <v>23356.739999999998</v>
      </c>
      <c r="Q146" s="78">
        <f t="shared" si="887"/>
        <v>1.0155104347826087</v>
      </c>
      <c r="R146" s="42">
        <f t="shared" si="950"/>
        <v>0</v>
      </c>
      <c r="S146" s="42">
        <f t="shared" si="950"/>
        <v>0</v>
      </c>
      <c r="T146" s="42">
        <f t="shared" si="950"/>
        <v>0</v>
      </c>
      <c r="U146" s="78">
        <f t="shared" si="888"/>
        <v>0</v>
      </c>
      <c r="V146" s="42">
        <f t="shared" si="950"/>
        <v>154614.82999999999</v>
      </c>
      <c r="W146" s="78">
        <f t="shared" si="877"/>
        <v>0.56019865942028979</v>
      </c>
      <c r="X146" s="42">
        <f t="shared" si="889"/>
        <v>17179.425555555554</v>
      </c>
      <c r="Y146" s="42">
        <f t="shared" ref="Y146" si="951">SUM(Y147:Y151)</f>
        <v>18210.191088888889</v>
      </c>
      <c r="Z146" s="42">
        <v>18897.368111111111</v>
      </c>
      <c r="AA146" s="42">
        <f>SUM(AA147:AA151)</f>
        <v>226768.41733333335</v>
      </c>
      <c r="AB146" s="81">
        <f t="shared" si="903"/>
        <v>22895.789999999997</v>
      </c>
      <c r="AC146" t="s">
        <v>195</v>
      </c>
      <c r="AF146" s="42">
        <f>SUM(AF147:AF151)</f>
        <v>14796.750000000002</v>
      </c>
      <c r="AG146" s="78">
        <f t="shared" si="896"/>
        <v>6.5250488467491652E-2</v>
      </c>
      <c r="AH146" s="42">
        <f>SUM(AH147:AH151)</f>
        <v>9484.73</v>
      </c>
      <c r="AI146" s="78">
        <f t="shared" si="896"/>
        <v>4.1825621537315422E-2</v>
      </c>
      <c r="AJ146" s="42">
        <f>SUM(AJ147:AJ151)</f>
        <v>10237.779999999999</v>
      </c>
      <c r="AK146" s="78">
        <f t="shared" ref="AK146:AM146" si="952">AJ146/$AA146</f>
        <v>4.514641024702834E-2</v>
      </c>
      <c r="AL146" s="42">
        <f>SUM(AL147:AL151)</f>
        <v>10502.33</v>
      </c>
      <c r="AM146" s="78">
        <f t="shared" si="952"/>
        <v>4.6313018909341003E-2</v>
      </c>
      <c r="AN146" s="42">
        <f>SUM(AN147:AN151)</f>
        <v>7881.03</v>
      </c>
      <c r="AO146" s="78">
        <f t="shared" ref="AO146:AQ146" si="953">AN146/$AA146</f>
        <v>3.4753649086924875E-2</v>
      </c>
      <c r="AP146" s="42">
        <f>SUM(AP147:AP151)</f>
        <v>40668.42</v>
      </c>
      <c r="AQ146" s="78">
        <f t="shared" si="953"/>
        <v>0.17933899472526782</v>
      </c>
      <c r="AR146" s="42">
        <f>SUM(AR147:AR151)</f>
        <v>14271.630000000001</v>
      </c>
      <c r="AS146" s="78">
        <f t="shared" ref="AS146" si="954">AR146/$AA146</f>
        <v>6.2934822087776565E-2</v>
      </c>
      <c r="AT146" s="42">
        <f>SUM(AT147:AT151)</f>
        <v>18667.79</v>
      </c>
      <c r="AU146" s="78">
        <f t="shared" ref="AU146" si="955">AT146/$AA146</f>
        <v>8.2320943187426693E-2</v>
      </c>
      <c r="AV146" s="42">
        <f>SUM(AV147:AV151)</f>
        <v>85474.4</v>
      </c>
      <c r="AW146" s="78">
        <f t="shared" ref="AW146:BC146" si="956">AV146/$AA146</f>
        <v>0.37692374010953539</v>
      </c>
      <c r="AX146" s="42">
        <f>SUM(AX147:AX151)</f>
        <v>0</v>
      </c>
      <c r="AY146" s="78">
        <f t="shared" si="956"/>
        <v>0</v>
      </c>
      <c r="AZ146" s="42">
        <f>SUM(AZ147:AZ151)</f>
        <v>0</v>
      </c>
      <c r="BA146" s="78">
        <f t="shared" si="956"/>
        <v>0</v>
      </c>
      <c r="BB146" s="42">
        <f>SUM(BB147:BB151)</f>
        <v>0</v>
      </c>
      <c r="BC146" s="78">
        <f t="shared" si="956"/>
        <v>0</v>
      </c>
      <c r="BD146" s="42">
        <f t="shared" ref="BD146" si="957">SUM(BD147:BD151)</f>
        <v>211984.86</v>
      </c>
      <c r="BE146" s="78">
        <f t="shared" ref="BE146" si="958">BD146/$AA146</f>
        <v>0.93480768835810768</v>
      </c>
    </row>
    <row r="147" spans="1:57" x14ac:dyDescent="0.25">
      <c r="A147" s="60" t="s">
        <v>91</v>
      </c>
      <c r="B147" s="54">
        <v>18000</v>
      </c>
      <c r="C147" s="38">
        <v>1500</v>
      </c>
      <c r="D147" s="38">
        <v>18000</v>
      </c>
      <c r="E147" s="35">
        <f t="shared" si="922"/>
        <v>0</v>
      </c>
      <c r="F147" s="38">
        <v>0</v>
      </c>
      <c r="G147" s="38"/>
      <c r="H147" s="38">
        <v>7000</v>
      </c>
      <c r="I147" s="38">
        <v>181</v>
      </c>
      <c r="J147" s="38">
        <v>280</v>
      </c>
      <c r="K147" s="38"/>
      <c r="L147" s="38"/>
      <c r="M147" s="75">
        <f t="shared" si="875"/>
        <v>0</v>
      </c>
      <c r="N147" s="38">
        <v>260</v>
      </c>
      <c r="O147" s="75">
        <f t="shared" si="886"/>
        <v>0.17333333333333334</v>
      </c>
      <c r="P147" s="38"/>
      <c r="Q147" s="75">
        <f t="shared" si="887"/>
        <v>0</v>
      </c>
      <c r="R147" s="38"/>
      <c r="S147" s="38"/>
      <c r="T147" s="38"/>
      <c r="U147" s="75">
        <f t="shared" si="888"/>
        <v>0</v>
      </c>
      <c r="V147" s="38">
        <f>T147+S147+R147+P147+N147+L147+K147+J147+I147+H147+G147+F147</f>
        <v>7721</v>
      </c>
      <c r="W147" s="75">
        <f t="shared" si="877"/>
        <v>0.42894444444444446</v>
      </c>
      <c r="X147" s="38">
        <f t="shared" si="889"/>
        <v>857.88888888888891</v>
      </c>
      <c r="Y147" s="83">
        <f t="shared" ref="Y147:Y151" si="959">X147+(X147*$Y$2)</f>
        <v>909.36222222222227</v>
      </c>
      <c r="Z147" s="83">
        <v>943.67777777777781</v>
      </c>
      <c r="AA147" s="83">
        <f t="shared" si="758"/>
        <v>11324.133333333333</v>
      </c>
      <c r="AB147" s="81">
        <f t="shared" si="903"/>
        <v>86.666666666666671</v>
      </c>
      <c r="AF147" s="83"/>
      <c r="AG147" s="103">
        <f t="shared" si="896"/>
        <v>0</v>
      </c>
      <c r="AH147" s="83"/>
      <c r="AI147" s="103">
        <f t="shared" si="896"/>
        <v>0</v>
      </c>
      <c r="AJ147" s="83"/>
      <c r="AK147" s="103">
        <f t="shared" ref="AK147:AM147" si="960">AJ147/$AA147</f>
        <v>0</v>
      </c>
      <c r="AL147" s="83"/>
      <c r="AM147" s="103">
        <f t="shared" si="960"/>
        <v>0</v>
      </c>
      <c r="AN147" s="83">
        <v>790</v>
      </c>
      <c r="AO147" s="103">
        <f t="shared" ref="AO147:AQ147" si="961">AN147/$AA147</f>
        <v>6.9762513098868495E-2</v>
      </c>
      <c r="AP147" s="83">
        <v>5940</v>
      </c>
      <c r="AQ147" s="103">
        <f t="shared" si="961"/>
        <v>0.52454345292060611</v>
      </c>
      <c r="AR147" s="83">
        <v>5562</v>
      </c>
      <c r="AS147" s="103">
        <f t="shared" ref="AS147" si="962">AR147/$AA147</f>
        <v>0.49116341500747668</v>
      </c>
      <c r="AT147" s="83"/>
      <c r="AU147" s="103">
        <f t="shared" ref="AU147" si="963">AT147/$AA147</f>
        <v>0</v>
      </c>
      <c r="AV147" s="83">
        <v>5562</v>
      </c>
      <c r="AW147" s="103">
        <f t="shared" ref="AW147:BC147" si="964">AV147/$AA147</f>
        <v>0.49116341500747668</v>
      </c>
      <c r="AX147" s="83"/>
      <c r="AY147" s="103">
        <f t="shared" si="964"/>
        <v>0</v>
      </c>
      <c r="AZ147" s="83"/>
      <c r="BA147" s="103">
        <f t="shared" si="964"/>
        <v>0</v>
      </c>
      <c r="BB147" s="83"/>
      <c r="BC147" s="103">
        <f t="shared" si="964"/>
        <v>0</v>
      </c>
      <c r="BD147" s="104">
        <f t="shared" ref="BD147:BD151" si="965">AF147+AH147+AJ147+AL147+AN147+AP147+AR147+AT147+AV147+AX147+AZ147+BB147</f>
        <v>17854</v>
      </c>
      <c r="BE147" s="103">
        <f t="shared" ref="BE147" si="966">BD147/$AA147</f>
        <v>1.576632796034428</v>
      </c>
    </row>
    <row r="148" spans="1:57" ht="16.899999999999999" customHeight="1" x14ac:dyDescent="0.25">
      <c r="A148" s="62" t="s">
        <v>92</v>
      </c>
      <c r="B148" s="54">
        <v>84000</v>
      </c>
      <c r="C148" s="38">
        <v>7500</v>
      </c>
      <c r="D148" s="38">
        <v>90000</v>
      </c>
      <c r="E148" s="35">
        <f t="shared" si="922"/>
        <v>7.1428571428571397E-2</v>
      </c>
      <c r="F148" s="38">
        <v>7535</v>
      </c>
      <c r="G148" s="38">
        <v>2495.29</v>
      </c>
      <c r="H148" s="38">
        <v>2935.63</v>
      </c>
      <c r="I148" s="38">
        <v>2909.85</v>
      </c>
      <c r="J148" s="38">
        <v>11129.52</v>
      </c>
      <c r="K148" s="38">
        <v>8206.3700000000008</v>
      </c>
      <c r="L148" s="38">
        <v>5284.48</v>
      </c>
      <c r="M148" s="75">
        <f t="shared" si="875"/>
        <v>0.7045973333333333</v>
      </c>
      <c r="N148" s="38">
        <v>8084.11</v>
      </c>
      <c r="O148" s="75">
        <f t="shared" si="886"/>
        <v>1.0778813333333332</v>
      </c>
      <c r="P148" s="38">
        <f>13417.44-2801.6</f>
        <v>10615.84</v>
      </c>
      <c r="Q148" s="75">
        <f t="shared" si="887"/>
        <v>1.4154453333333334</v>
      </c>
      <c r="R148" s="38"/>
      <c r="S148" s="38"/>
      <c r="T148" s="38"/>
      <c r="U148" s="75">
        <f t="shared" si="888"/>
        <v>0</v>
      </c>
      <c r="V148" s="38">
        <f>T148+S148+R148+P148+N148+L148+K148+J148+I148+H148+G148+F148</f>
        <v>59196.090000000004</v>
      </c>
      <c r="W148" s="75">
        <f t="shared" si="877"/>
        <v>0.65773433333333342</v>
      </c>
      <c r="X148" s="38">
        <f t="shared" si="889"/>
        <v>6577.3433333333342</v>
      </c>
      <c r="Y148" s="83">
        <f t="shared" si="959"/>
        <v>6971.9839333333339</v>
      </c>
      <c r="Z148" s="83">
        <v>7235.0776666666679</v>
      </c>
      <c r="AA148" s="83">
        <f t="shared" si="758"/>
        <v>86820.932000000015</v>
      </c>
      <c r="AB148" s="81">
        <f t="shared" si="903"/>
        <v>7994.81</v>
      </c>
      <c r="AF148" s="83">
        <f>10771.28-253.64</f>
        <v>10517.640000000001</v>
      </c>
      <c r="AG148" s="103">
        <f t="shared" si="896"/>
        <v>0.12114175415670497</v>
      </c>
      <c r="AH148" s="83">
        <v>5016.2299999999996</v>
      </c>
      <c r="AI148" s="103">
        <f t="shared" si="896"/>
        <v>5.7776735223252371E-2</v>
      </c>
      <c r="AJ148" s="83">
        <v>3842.08</v>
      </c>
      <c r="AK148" s="103">
        <f t="shared" ref="AK148:AM148" si="967">AJ148/$AA148</f>
        <v>4.4252922785947509E-2</v>
      </c>
      <c r="AL148" s="83">
        <v>10302.33</v>
      </c>
      <c r="AM148" s="103">
        <f t="shared" si="967"/>
        <v>0.11866182224351149</v>
      </c>
      <c r="AN148" s="83">
        <v>6093.03</v>
      </c>
      <c r="AO148" s="103">
        <f t="shared" ref="AO148:AQ148" si="968">AN148/$AA148</f>
        <v>7.0179274279156531E-2</v>
      </c>
      <c r="AP148" s="83">
        <v>24282.43</v>
      </c>
      <c r="AQ148" s="103">
        <f t="shared" si="968"/>
        <v>0.27968405130688989</v>
      </c>
      <c r="AR148" s="83">
        <v>2703.03</v>
      </c>
      <c r="AS148" s="103">
        <f t="shared" ref="AS148" si="969">AR148/$AA148</f>
        <v>3.1133390735773255E-2</v>
      </c>
      <c r="AT148" s="83">
        <v>18334.79</v>
      </c>
      <c r="AU148" s="103">
        <f t="shared" ref="AU148" si="970">AT148/$AA148</f>
        <v>0.21117937319539484</v>
      </c>
      <c r="AV148" s="83">
        <v>43156.800000000003</v>
      </c>
      <c r="AW148" s="103">
        <f t="shared" ref="AW148:BC148" si="971">AV148/$AA148</f>
        <v>0.49707828522273861</v>
      </c>
      <c r="AX148" s="83"/>
      <c r="AY148" s="103">
        <f t="shared" si="971"/>
        <v>0</v>
      </c>
      <c r="AZ148" s="83"/>
      <c r="BA148" s="103">
        <f t="shared" si="971"/>
        <v>0</v>
      </c>
      <c r="BB148" s="83"/>
      <c r="BC148" s="103">
        <f t="shared" si="971"/>
        <v>0</v>
      </c>
      <c r="BD148" s="104">
        <f t="shared" si="965"/>
        <v>124248.36</v>
      </c>
      <c r="BE148" s="103">
        <f t="shared" ref="BE148" si="972">BD148/$AA148</f>
        <v>1.4310876091493694</v>
      </c>
    </row>
    <row r="149" spans="1:57" x14ac:dyDescent="0.25">
      <c r="A149" s="60" t="s">
        <v>93</v>
      </c>
      <c r="B149" s="54">
        <v>20400</v>
      </c>
      <c r="C149" s="38">
        <v>6666.666666666667</v>
      </c>
      <c r="D149" s="38">
        <v>80000</v>
      </c>
      <c r="E149" s="35">
        <f t="shared" si="922"/>
        <v>2.9215686274509802</v>
      </c>
      <c r="F149" s="38">
        <v>480.2</v>
      </c>
      <c r="G149" s="38">
        <v>996.5</v>
      </c>
      <c r="H149" s="38">
        <v>4617.7</v>
      </c>
      <c r="I149" s="38">
        <v>1163.4000000000001</v>
      </c>
      <c r="J149" s="38">
        <v>1402.7</v>
      </c>
      <c r="K149" s="38">
        <v>1407</v>
      </c>
      <c r="L149" s="38"/>
      <c r="M149" s="75">
        <f t="shared" si="875"/>
        <v>0</v>
      </c>
      <c r="N149" s="38">
        <v>104.1</v>
      </c>
      <c r="O149" s="75">
        <f t="shared" si="886"/>
        <v>1.5614999999999999E-2</v>
      </c>
      <c r="P149" s="38">
        <v>2148.9</v>
      </c>
      <c r="Q149" s="75">
        <f t="shared" si="887"/>
        <v>0.32233499999999998</v>
      </c>
      <c r="R149" s="38"/>
      <c r="S149" s="38"/>
      <c r="T149" s="38"/>
      <c r="U149" s="75">
        <f t="shared" si="888"/>
        <v>0</v>
      </c>
      <c r="V149" s="38">
        <f>T149+S149+R149+P149+N149+L149+K149+J149+I149+H149+G149+F149</f>
        <v>12320.5</v>
      </c>
      <c r="W149" s="75">
        <f t="shared" si="877"/>
        <v>0.15400625000000001</v>
      </c>
      <c r="X149" s="38">
        <f t="shared" si="889"/>
        <v>1368.9444444444443</v>
      </c>
      <c r="Y149" s="83">
        <f t="shared" si="959"/>
        <v>1451.0811111111111</v>
      </c>
      <c r="Z149" s="83">
        <v>1505.8388888888887</v>
      </c>
      <c r="AA149" s="83">
        <f t="shared" si="758"/>
        <v>18070.066666666666</v>
      </c>
      <c r="AB149" s="81">
        <f t="shared" si="903"/>
        <v>751</v>
      </c>
      <c r="AF149" s="83">
        <v>3860.41</v>
      </c>
      <c r="AG149" s="103">
        <f t="shared" si="896"/>
        <v>0.21363562576784442</v>
      </c>
      <c r="AH149" s="83">
        <v>820.5</v>
      </c>
      <c r="AI149" s="103">
        <f t="shared" si="896"/>
        <v>4.5406584000796897E-2</v>
      </c>
      <c r="AJ149" s="83">
        <v>299.7</v>
      </c>
      <c r="AK149" s="103">
        <f t="shared" ref="AK149:AM149" si="973">AJ149/$AA149</f>
        <v>1.6585439640510458E-2</v>
      </c>
      <c r="AL149" s="83"/>
      <c r="AM149" s="103">
        <f t="shared" si="973"/>
        <v>0</v>
      </c>
      <c r="AN149" s="83"/>
      <c r="AO149" s="103">
        <f t="shared" ref="AO149:AQ149" si="974">AN149/$AA149</f>
        <v>0</v>
      </c>
      <c r="AP149" s="83">
        <v>3231.75</v>
      </c>
      <c r="AQ149" s="103">
        <f t="shared" si="974"/>
        <v>0.17884549402142033</v>
      </c>
      <c r="AR149" s="83">
        <v>6.6</v>
      </c>
      <c r="AS149" s="103">
        <f t="shared" ref="AS149" si="975">AR149/$AA149</f>
        <v>3.6524491700823831E-4</v>
      </c>
      <c r="AT149" s="83">
        <f>2333-2074</f>
        <v>259</v>
      </c>
      <c r="AU149" s="103">
        <f t="shared" ref="AU149" si="976">AT149/$AA149</f>
        <v>1.4333095985626322E-2</v>
      </c>
      <c r="AV149" s="83">
        <v>36755.599999999999</v>
      </c>
      <c r="AW149" s="103">
        <f t="shared" ref="AW149:BC149" si="977">AV149/$AA149</f>
        <v>2.0340600108466673</v>
      </c>
      <c r="AX149" s="83"/>
      <c r="AY149" s="103">
        <f t="shared" si="977"/>
        <v>0</v>
      </c>
      <c r="AZ149" s="83"/>
      <c r="BA149" s="103">
        <f t="shared" si="977"/>
        <v>0</v>
      </c>
      <c r="BB149" s="83"/>
      <c r="BC149" s="103">
        <f t="shared" si="977"/>
        <v>0</v>
      </c>
      <c r="BD149" s="104">
        <f t="shared" si="965"/>
        <v>45233.56</v>
      </c>
      <c r="BE149" s="103">
        <f t="shared" ref="BE149" si="978">BD149/$AA149</f>
        <v>2.503231495179874</v>
      </c>
    </row>
    <row r="150" spans="1:57" x14ac:dyDescent="0.25">
      <c r="A150" s="60" t="s">
        <v>94</v>
      </c>
      <c r="B150" s="54">
        <v>4635.0165333333334</v>
      </c>
      <c r="C150" s="38">
        <v>5833.333333333333</v>
      </c>
      <c r="D150" s="38">
        <v>70000</v>
      </c>
      <c r="E150" s="35">
        <f t="shared" si="922"/>
        <v>14.102427250601105</v>
      </c>
      <c r="F150" s="38">
        <v>7000</v>
      </c>
      <c r="G150" s="38"/>
      <c r="H150" s="38">
        <v>2850</v>
      </c>
      <c r="I150" s="38">
        <v>160</v>
      </c>
      <c r="J150" s="38">
        <v>9350</v>
      </c>
      <c r="K150" s="38">
        <v>4125</v>
      </c>
      <c r="L150" s="38">
        <v>10000</v>
      </c>
      <c r="M150" s="75">
        <f t="shared" si="875"/>
        <v>1.7142857142857144</v>
      </c>
      <c r="N150" s="38">
        <v>19600</v>
      </c>
      <c r="O150" s="75">
        <f t="shared" si="886"/>
        <v>3.3600000000000003</v>
      </c>
      <c r="P150" s="38">
        <v>9635</v>
      </c>
      <c r="Q150" s="75">
        <f t="shared" si="887"/>
        <v>1.6517142857142857</v>
      </c>
      <c r="R150" s="38"/>
      <c r="S150" s="38"/>
      <c r="T150" s="38"/>
      <c r="U150" s="75">
        <f t="shared" si="888"/>
        <v>0</v>
      </c>
      <c r="V150" s="38">
        <f>T150+S150+R150+P150+N150+L150+K150+J150+I150+H150+G150+F150</f>
        <v>62720</v>
      </c>
      <c r="W150" s="75">
        <f t="shared" si="877"/>
        <v>0.89600000000000002</v>
      </c>
      <c r="X150" s="38">
        <f t="shared" si="889"/>
        <v>6968.8888888888887</v>
      </c>
      <c r="Y150" s="83">
        <f t="shared" si="959"/>
        <v>7387.0222222222219</v>
      </c>
      <c r="Z150" s="83">
        <v>7665.7777777777774</v>
      </c>
      <c r="AA150" s="83">
        <f t="shared" si="758"/>
        <v>91989.333333333328</v>
      </c>
      <c r="AB150" s="81">
        <f t="shared" si="903"/>
        <v>13078.333333333334</v>
      </c>
      <c r="AF150" s="83"/>
      <c r="AG150" s="103">
        <f t="shared" si="896"/>
        <v>0</v>
      </c>
      <c r="AH150" s="83"/>
      <c r="AI150" s="103">
        <f t="shared" si="896"/>
        <v>0</v>
      </c>
      <c r="AJ150" s="83">
        <v>5200</v>
      </c>
      <c r="AK150" s="103">
        <f t="shared" ref="AK150:AM150" si="979">AJ150/$AA150</f>
        <v>5.6528293135435996E-2</v>
      </c>
      <c r="AL150" s="83"/>
      <c r="AM150" s="103">
        <f t="shared" si="979"/>
        <v>0</v>
      </c>
      <c r="AN150" s="83"/>
      <c r="AO150" s="103">
        <f t="shared" ref="AO150:AQ150" si="980">AN150/$AA150</f>
        <v>0</v>
      </c>
      <c r="AP150" s="83"/>
      <c r="AQ150" s="103">
        <f t="shared" si="980"/>
        <v>0</v>
      </c>
      <c r="AR150" s="83">
        <v>6000</v>
      </c>
      <c r="AS150" s="103">
        <f t="shared" ref="AS150" si="981">AR150/$AA150</f>
        <v>6.5224953617810763E-2</v>
      </c>
      <c r="AT150" s="83"/>
      <c r="AU150" s="103">
        <f t="shared" ref="AU150" si="982">AT150/$AA150</f>
        <v>0</v>
      </c>
      <c r="AV150" s="83"/>
      <c r="AW150" s="103">
        <f t="shared" ref="AW150:BC150" si="983">AV150/$AA150</f>
        <v>0</v>
      </c>
      <c r="AX150" s="83"/>
      <c r="AY150" s="103">
        <f t="shared" si="983"/>
        <v>0</v>
      </c>
      <c r="AZ150" s="83"/>
      <c r="BA150" s="103">
        <f t="shared" si="983"/>
        <v>0</v>
      </c>
      <c r="BB150" s="83"/>
      <c r="BC150" s="103">
        <f t="shared" si="983"/>
        <v>0</v>
      </c>
      <c r="BD150" s="104">
        <f t="shared" si="965"/>
        <v>11200</v>
      </c>
      <c r="BE150" s="103">
        <f t="shared" ref="BE150" si="984">BD150/$AA150</f>
        <v>0.12175324675324677</v>
      </c>
    </row>
    <row r="151" spans="1:57" x14ac:dyDescent="0.25">
      <c r="A151" s="66" t="s">
        <v>95</v>
      </c>
      <c r="B151" s="54">
        <v>18000</v>
      </c>
      <c r="C151" s="38">
        <v>1500</v>
      </c>
      <c r="D151" s="38">
        <v>18000</v>
      </c>
      <c r="E151" s="35">
        <f t="shared" si="922"/>
        <v>0</v>
      </c>
      <c r="F151" s="38">
        <v>723.04</v>
      </c>
      <c r="G151" s="38">
        <v>1420</v>
      </c>
      <c r="H151" s="38">
        <v>2277.1799999999998</v>
      </c>
      <c r="I151" s="38">
        <v>1743.04</v>
      </c>
      <c r="J151" s="38">
        <v>1228.04</v>
      </c>
      <c r="K151" s="38">
        <v>2311</v>
      </c>
      <c r="L151" s="38">
        <v>643.04</v>
      </c>
      <c r="M151" s="75">
        <f t="shared" si="875"/>
        <v>0.42869333333333332</v>
      </c>
      <c r="N151" s="38">
        <v>1354.9</v>
      </c>
      <c r="O151" s="75">
        <f t="shared" si="886"/>
        <v>0.90326666666666677</v>
      </c>
      <c r="P151" s="38">
        <v>957</v>
      </c>
      <c r="Q151" s="75">
        <f t="shared" si="887"/>
        <v>0.63800000000000001</v>
      </c>
      <c r="R151" s="38"/>
      <c r="S151" s="38"/>
      <c r="T151" s="38"/>
      <c r="U151" s="75">
        <f t="shared" si="888"/>
        <v>0</v>
      </c>
      <c r="V151" s="38">
        <f>T151+S151+R151+P151+N151+L151+K151+J151+I151+H151+G151+F151</f>
        <v>12657.240000000002</v>
      </c>
      <c r="W151" s="75">
        <f t="shared" si="877"/>
        <v>0.70318000000000014</v>
      </c>
      <c r="X151" s="38">
        <f t="shared" si="889"/>
        <v>1406.3600000000001</v>
      </c>
      <c r="Y151" s="83">
        <f t="shared" si="959"/>
        <v>1490.7416000000001</v>
      </c>
      <c r="Z151" s="83">
        <v>1546.9960000000001</v>
      </c>
      <c r="AA151" s="83">
        <f t="shared" si="758"/>
        <v>18563.952000000001</v>
      </c>
      <c r="AB151" s="81">
        <f t="shared" si="903"/>
        <v>984.98</v>
      </c>
      <c r="AF151" s="83">
        <v>418.7</v>
      </c>
      <c r="AG151" s="103">
        <f t="shared" si="896"/>
        <v>2.2554464695879409E-2</v>
      </c>
      <c r="AH151" s="83">
        <v>3648</v>
      </c>
      <c r="AI151" s="103">
        <f t="shared" si="896"/>
        <v>0.19650988108566536</v>
      </c>
      <c r="AJ151" s="83">
        <v>896</v>
      </c>
      <c r="AK151" s="103">
        <f t="shared" ref="AK151:AM151" si="985">AJ151/$AA151</f>
        <v>4.8265584828058164E-2</v>
      </c>
      <c r="AL151" s="83">
        <v>200</v>
      </c>
      <c r="AM151" s="103">
        <f t="shared" si="985"/>
        <v>1.0773568041977268E-2</v>
      </c>
      <c r="AN151" s="83">
        <v>998</v>
      </c>
      <c r="AO151" s="103">
        <f t="shared" ref="AO151:AQ151" si="986">AN151/$AA151</f>
        <v>5.3760104529466564E-2</v>
      </c>
      <c r="AP151" s="83">
        <v>7214.24</v>
      </c>
      <c r="AQ151" s="103">
        <f t="shared" si="986"/>
        <v>0.38861552755577039</v>
      </c>
      <c r="AR151" s="83"/>
      <c r="AS151" s="103">
        <f t="shared" ref="AS151" si="987">AR151/$AA151</f>
        <v>0</v>
      </c>
      <c r="AT151" s="83">
        <v>74</v>
      </c>
      <c r="AU151" s="103">
        <f t="shared" ref="AU151" si="988">AT151/$AA151</f>
        <v>3.9862201755315888E-3</v>
      </c>
      <c r="AV151" s="83"/>
      <c r="AW151" s="103">
        <f t="shared" ref="AW151:BC151" si="989">AV151/$AA151</f>
        <v>0</v>
      </c>
      <c r="AX151" s="83"/>
      <c r="AY151" s="103">
        <f t="shared" si="989"/>
        <v>0</v>
      </c>
      <c r="AZ151" s="83"/>
      <c r="BA151" s="103">
        <f t="shared" si="989"/>
        <v>0</v>
      </c>
      <c r="BB151" s="83"/>
      <c r="BC151" s="103">
        <f t="shared" si="989"/>
        <v>0</v>
      </c>
      <c r="BD151" s="104">
        <f t="shared" si="965"/>
        <v>13448.939999999999</v>
      </c>
      <c r="BE151" s="103">
        <f t="shared" ref="BE151" si="990">BD151/$AA151</f>
        <v>0.72446535091234876</v>
      </c>
    </row>
    <row r="152" spans="1:57" x14ac:dyDescent="0.25">
      <c r="A152" s="58" t="s">
        <v>96</v>
      </c>
      <c r="B152" s="59">
        <v>46275.562666666665</v>
      </c>
      <c r="C152" s="42">
        <v>2978.22</v>
      </c>
      <c r="D152" s="42">
        <f>SUM(D153:D155)</f>
        <v>35738.639999999999</v>
      </c>
      <c r="E152" s="35">
        <f t="shared" si="922"/>
        <v>-0.22769950400314953</v>
      </c>
      <c r="F152" s="42">
        <f t="shared" ref="F152:L152" si="991">SUM(F153:F155)</f>
        <v>2447.42</v>
      </c>
      <c r="G152" s="42">
        <f t="shared" si="991"/>
        <v>3912.55</v>
      </c>
      <c r="H152" s="42">
        <f t="shared" si="991"/>
        <v>2770.64</v>
      </c>
      <c r="I152" s="42">
        <f t="shared" si="991"/>
        <v>3808.84</v>
      </c>
      <c r="J152" s="42">
        <f t="shared" si="991"/>
        <v>2990.5099999999998</v>
      </c>
      <c r="K152" s="42">
        <f t="shared" si="991"/>
        <v>2915.94</v>
      </c>
      <c r="L152" s="42">
        <f t="shared" si="991"/>
        <v>3404.78</v>
      </c>
      <c r="M152" s="78">
        <f t="shared" si="875"/>
        <v>1.1432264909912633</v>
      </c>
      <c r="N152" s="42">
        <f>SUM(N153:N155)</f>
        <v>2983.69</v>
      </c>
      <c r="O152" s="78">
        <f t="shared" si="886"/>
        <v>1.0018366675396715</v>
      </c>
      <c r="P152" s="42">
        <f>SUM(P153:P155)</f>
        <v>6443.1599999999989</v>
      </c>
      <c r="Q152" s="78">
        <f t="shared" si="887"/>
        <v>2.1634264762173379</v>
      </c>
      <c r="R152" s="42">
        <f>SUM(R153:R155)</f>
        <v>0</v>
      </c>
      <c r="S152" s="42">
        <f>SUM(S153:S155)</f>
        <v>0</v>
      </c>
      <c r="T152" s="42">
        <f>SUM(T153:T155)</f>
        <v>0</v>
      </c>
      <c r="U152" s="78">
        <f t="shared" si="888"/>
        <v>0</v>
      </c>
      <c r="V152" s="42">
        <f>SUM(V153:V155)</f>
        <v>31677.53</v>
      </c>
      <c r="W152" s="78">
        <f t="shared" si="877"/>
        <v>0.88636640901836217</v>
      </c>
      <c r="X152" s="42">
        <f t="shared" si="889"/>
        <v>3519.7255555555553</v>
      </c>
      <c r="Y152" s="42">
        <f>SUM(Y153:Y155)</f>
        <v>3730.9090888888895</v>
      </c>
      <c r="Z152" s="42">
        <v>3871.6981111111108</v>
      </c>
      <c r="AA152" s="42">
        <f>SUM(AA153:AA155)</f>
        <v>46460.377333333337</v>
      </c>
      <c r="AB152" s="81">
        <f t="shared" si="903"/>
        <v>4277.21</v>
      </c>
      <c r="AF152" s="42">
        <f>SUM(AF153:AF155)</f>
        <v>3639.5499999999997</v>
      </c>
      <c r="AG152" s="78">
        <f t="shared" si="896"/>
        <v>7.8336643154828148E-2</v>
      </c>
      <c r="AH152" s="42">
        <f>SUM(AH153:AH155)</f>
        <v>3798.2899999999995</v>
      </c>
      <c r="AI152" s="78">
        <f t="shared" si="896"/>
        <v>8.1753317945502099E-2</v>
      </c>
      <c r="AJ152" s="42">
        <f>SUM(AJ153:AJ155)</f>
        <v>2505.08</v>
      </c>
      <c r="AK152" s="78">
        <f t="shared" ref="AK152:AM152" si="992">AJ152/$AA152</f>
        <v>5.3918632257915648E-2</v>
      </c>
      <c r="AL152" s="42">
        <f>SUM(AL153:AL155)</f>
        <v>1966.63</v>
      </c>
      <c r="AM152" s="78">
        <f t="shared" si="992"/>
        <v>4.2329186994980068E-2</v>
      </c>
      <c r="AN152" s="42">
        <f>SUM(AN153:AN155)</f>
        <v>1969.1699999999998</v>
      </c>
      <c r="AO152" s="78">
        <f t="shared" ref="AO152:AQ152" si="993">AN152/$AA152</f>
        <v>4.2383857235425516E-2</v>
      </c>
      <c r="AP152" s="42">
        <f>SUM(AP153:AP155)</f>
        <v>2281.1800000000003</v>
      </c>
      <c r="AQ152" s="78">
        <f t="shared" si="993"/>
        <v>4.9099472086365323E-2</v>
      </c>
      <c r="AR152" s="42">
        <f>SUM(AR153:AR155)</f>
        <v>2773.89</v>
      </c>
      <c r="AS152" s="78">
        <f t="shared" ref="AS152" si="994">AR152/$AA152</f>
        <v>5.9704422546948459E-2</v>
      </c>
      <c r="AT152" s="42">
        <f>SUM(AT153:AT155)</f>
        <v>2709.3</v>
      </c>
      <c r="AU152" s="78">
        <f t="shared" ref="AU152" si="995">AT152/$AA152</f>
        <v>5.8314205684597248E-2</v>
      </c>
      <c r="AV152" s="42">
        <f>SUM(AV153:AV155)</f>
        <v>2068.42</v>
      </c>
      <c r="AW152" s="78">
        <f t="shared" ref="AW152:BC152" si="996">AV152/$AA152</f>
        <v>4.4520086118973401E-2</v>
      </c>
      <c r="AX152" s="42">
        <f>SUM(AX153:AX155)</f>
        <v>0</v>
      </c>
      <c r="AY152" s="78">
        <f t="shared" si="996"/>
        <v>0</v>
      </c>
      <c r="AZ152" s="42">
        <f>SUM(AZ153:AZ155)</f>
        <v>0</v>
      </c>
      <c r="BA152" s="78">
        <f t="shared" si="996"/>
        <v>0</v>
      </c>
      <c r="BB152" s="42">
        <f>SUM(BB153:BB155)</f>
        <v>0</v>
      </c>
      <c r="BC152" s="78">
        <f t="shared" si="996"/>
        <v>0</v>
      </c>
      <c r="BD152" s="42">
        <f t="shared" ref="BD152" si="997">SUM(BD153:BD155)</f>
        <v>23711.510000000002</v>
      </c>
      <c r="BE152" s="78">
        <f t="shared" ref="BE152" si="998">BD152/$AA152</f>
        <v>0.51035982402553592</v>
      </c>
    </row>
    <row r="153" spans="1:57" x14ac:dyDescent="0.25">
      <c r="A153" s="60" t="s">
        <v>97</v>
      </c>
      <c r="B153" s="54">
        <v>14094.024533333333</v>
      </c>
      <c r="C153" s="38">
        <v>622.32666666666671</v>
      </c>
      <c r="D153" s="38">
        <f>C153*12</f>
        <v>7467.92</v>
      </c>
      <c r="E153" s="35">
        <f t="shared" si="922"/>
        <v>-0.47013573146989651</v>
      </c>
      <c r="F153" s="38"/>
      <c r="G153" s="38">
        <v>1830.4</v>
      </c>
      <c r="H153" s="38">
        <f>598.48-536.48</f>
        <v>62</v>
      </c>
      <c r="I153" s="38">
        <v>1109.1500000000001</v>
      </c>
      <c r="J153" s="38"/>
      <c r="K153" s="38"/>
      <c r="L153" s="38">
        <v>495.4</v>
      </c>
      <c r="M153" s="75">
        <f t="shared" si="875"/>
        <v>0.79604494959774597</v>
      </c>
      <c r="N153" s="38"/>
      <c r="O153" s="75">
        <f t="shared" si="886"/>
        <v>0</v>
      </c>
      <c r="P153" s="38">
        <v>3692.81</v>
      </c>
      <c r="Q153" s="75">
        <f t="shared" si="887"/>
        <v>5.9338771706177891</v>
      </c>
      <c r="R153" s="38"/>
      <c r="S153" s="38"/>
      <c r="T153" s="38"/>
      <c r="U153" s="75">
        <f t="shared" si="888"/>
        <v>0</v>
      </c>
      <c r="V153" s="38">
        <f>T153+S153+R153+P153+N153+L153+K153+J153+I153+H153+G153+F153</f>
        <v>7189.76</v>
      </c>
      <c r="W153" s="75">
        <f t="shared" si="877"/>
        <v>0.96275268080000864</v>
      </c>
      <c r="X153" s="38">
        <f t="shared" si="889"/>
        <v>798.86222222222227</v>
      </c>
      <c r="Y153" s="83">
        <f t="shared" ref="Y153:Y155" si="999">X153+(X153*$Y$2)</f>
        <v>846.79395555555561</v>
      </c>
      <c r="Z153" s="83">
        <v>878.74844444444454</v>
      </c>
      <c r="AA153" s="83">
        <f t="shared" si="758"/>
        <v>10544.981333333335</v>
      </c>
      <c r="AB153" s="81">
        <f t="shared" si="903"/>
        <v>1396.07</v>
      </c>
      <c r="AF153" s="83">
        <v>911.75</v>
      </c>
      <c r="AG153" s="103">
        <f t="shared" si="896"/>
        <v>8.6462931623966191E-2</v>
      </c>
      <c r="AH153" s="83">
        <v>1023.43</v>
      </c>
      <c r="AI153" s="103">
        <f t="shared" si="896"/>
        <v>9.7053751699386584E-2</v>
      </c>
      <c r="AJ153" s="83"/>
      <c r="AK153" s="103">
        <f t="shared" ref="AK153:AM153" si="1000">AJ153/$AA153</f>
        <v>0</v>
      </c>
      <c r="AL153" s="83"/>
      <c r="AM153" s="103">
        <f t="shared" si="1000"/>
        <v>0</v>
      </c>
      <c r="AN153" s="83">
        <v>200</v>
      </c>
      <c r="AO153" s="103">
        <f t="shared" ref="AO153:AQ153" si="1001">AN153/$AA153</f>
        <v>1.8966368329907581E-2</v>
      </c>
      <c r="AP153" s="83">
        <v>206.68</v>
      </c>
      <c r="AQ153" s="103">
        <f t="shared" si="1001"/>
        <v>1.9599845032126497E-2</v>
      </c>
      <c r="AR153" s="83">
        <v>206.68</v>
      </c>
      <c r="AS153" s="103">
        <f t="shared" ref="AS153" si="1002">AR153/$AA153</f>
        <v>1.9599845032126497E-2</v>
      </c>
      <c r="AT153" s="83">
        <v>1097.4100000000001</v>
      </c>
      <c r="AU153" s="103">
        <f t="shared" ref="AU153" si="1003">AT153/$AA153</f>
        <v>0.1040694113446194</v>
      </c>
      <c r="AV153" s="83"/>
      <c r="AW153" s="103">
        <f t="shared" ref="AW153:BC153" si="1004">AV153/$AA153</f>
        <v>0</v>
      </c>
      <c r="AX153" s="83"/>
      <c r="AY153" s="103">
        <f t="shared" si="1004"/>
        <v>0</v>
      </c>
      <c r="AZ153" s="83"/>
      <c r="BA153" s="103">
        <f t="shared" si="1004"/>
        <v>0</v>
      </c>
      <c r="BB153" s="83"/>
      <c r="BC153" s="103">
        <f t="shared" si="1004"/>
        <v>0</v>
      </c>
      <c r="BD153" s="104">
        <f t="shared" ref="BD153:BD155" si="1005">AF153+AH153+AJ153+AL153+AN153+AP153+AR153+AT153+AV153+AX153+AZ153+BB153</f>
        <v>3645.95</v>
      </c>
      <c r="BE153" s="103">
        <f t="shared" ref="BE153" si="1006">BD153/$AA153</f>
        <v>0.34575215306213275</v>
      </c>
    </row>
    <row r="154" spans="1:57" x14ac:dyDescent="0.25">
      <c r="A154" s="63" t="s">
        <v>98</v>
      </c>
      <c r="B154" s="54">
        <v>30824.7264</v>
      </c>
      <c r="C154" s="38">
        <v>1988.68</v>
      </c>
      <c r="D154" s="38">
        <f>C154*12</f>
        <v>23864.16</v>
      </c>
      <c r="E154" s="35">
        <f t="shared" si="922"/>
        <v>-0.22581113323361079</v>
      </c>
      <c r="F154" s="38">
        <f>1852.51+40.67+138.92</f>
        <v>2032.1000000000001</v>
      </c>
      <c r="G154" s="38">
        <v>1696.5</v>
      </c>
      <c r="H154" s="38">
        <v>2272.16</v>
      </c>
      <c r="I154" s="38">
        <v>2207.0500000000002</v>
      </c>
      <c r="J154" s="38">
        <v>2596.2199999999998</v>
      </c>
      <c r="K154" s="38">
        <v>2520.9</v>
      </c>
      <c r="L154" s="38">
        <v>2601.11</v>
      </c>
      <c r="M154" s="75">
        <f t="shared" si="875"/>
        <v>1.3079580425206669</v>
      </c>
      <c r="N154" s="38">
        <v>2590.56</v>
      </c>
      <c r="O154" s="75">
        <f t="shared" si="886"/>
        <v>1.3026530160709615</v>
      </c>
      <c r="P154" s="38">
        <v>2405.91</v>
      </c>
      <c r="Q154" s="75">
        <f t="shared" si="887"/>
        <v>1.2098024820483937</v>
      </c>
      <c r="R154" s="38"/>
      <c r="S154" s="38"/>
      <c r="T154" s="38"/>
      <c r="U154" s="75">
        <f t="shared" si="888"/>
        <v>0</v>
      </c>
      <c r="V154" s="38">
        <f>T154+S154+R154+P154+N154+L154+K154+J154+I154+H154+G154+F154</f>
        <v>20922.509999999998</v>
      </c>
      <c r="W154" s="75">
        <f t="shared" si="877"/>
        <v>0.87673356196069752</v>
      </c>
      <c r="X154" s="38">
        <f t="shared" si="889"/>
        <v>2324.7233333333334</v>
      </c>
      <c r="Y154" s="83">
        <f t="shared" si="999"/>
        <v>2464.2067333333334</v>
      </c>
      <c r="Z154" s="83">
        <v>2557.1956666666665</v>
      </c>
      <c r="AA154" s="83">
        <f t="shared" si="758"/>
        <v>30686.347999999998</v>
      </c>
      <c r="AB154" s="81">
        <f t="shared" si="903"/>
        <v>2532.5266666666666</v>
      </c>
      <c r="AF154" s="83">
        <v>2262.66</v>
      </c>
      <c r="AG154" s="103">
        <f t="shared" si="896"/>
        <v>7.3735069419143651E-2</v>
      </c>
      <c r="AH154" s="83">
        <v>2338.4899999999998</v>
      </c>
      <c r="AI154" s="103">
        <f t="shared" si="896"/>
        <v>7.6206200881251823E-2</v>
      </c>
      <c r="AJ154" s="83">
        <v>1930.22</v>
      </c>
      <c r="AK154" s="103">
        <f t="shared" ref="AK154:AM154" si="1007">AJ154/$AA154</f>
        <v>6.2901587376901297E-2</v>
      </c>
      <c r="AL154" s="83">
        <v>1840.22</v>
      </c>
      <c r="AM154" s="103">
        <f t="shared" si="1007"/>
        <v>5.9968687052626792E-2</v>
      </c>
      <c r="AN154" s="83">
        <v>1676.84</v>
      </c>
      <c r="AO154" s="103">
        <f t="shared" ref="AO154:AQ154" si="1008">AN154/$AA154</f>
        <v>5.4644495330627159E-2</v>
      </c>
      <c r="AP154" s="83">
        <v>1985.68</v>
      </c>
      <c r="AQ154" s="103">
        <f t="shared" si="1008"/>
        <v>6.4708905732281996E-2</v>
      </c>
      <c r="AR154" s="83">
        <v>2506.73</v>
      </c>
      <c r="AS154" s="103">
        <f t="shared" ref="AS154" si="1009">AR154/$AA154</f>
        <v>8.1688769220762278E-2</v>
      </c>
      <c r="AT154" s="83">
        <v>1509.27</v>
      </c>
      <c r="AU154" s="103">
        <f t="shared" ref="AU154" si="1010">AT154/$AA154</f>
        <v>4.918376080464186E-2</v>
      </c>
      <c r="AV154" s="83">
        <v>1988.15</v>
      </c>
      <c r="AW154" s="103">
        <f t="shared" ref="AW154:BC154" si="1011">AV154/$AA154</f>
        <v>6.4789397552292641E-2</v>
      </c>
      <c r="AX154" s="83"/>
      <c r="AY154" s="103">
        <f t="shared" si="1011"/>
        <v>0</v>
      </c>
      <c r="AZ154" s="83"/>
      <c r="BA154" s="103">
        <f t="shared" si="1011"/>
        <v>0</v>
      </c>
      <c r="BB154" s="83"/>
      <c r="BC154" s="103">
        <f t="shared" si="1011"/>
        <v>0</v>
      </c>
      <c r="BD154" s="104">
        <f t="shared" si="1005"/>
        <v>18038.260000000002</v>
      </c>
      <c r="BE154" s="103">
        <f t="shared" ref="BE154" si="1012">BD154/$AA154</f>
        <v>0.58782687337052952</v>
      </c>
    </row>
    <row r="155" spans="1:57" x14ac:dyDescent="0.25">
      <c r="A155" s="60" t="s">
        <v>99</v>
      </c>
      <c r="B155" s="54">
        <v>1356.8117333333334</v>
      </c>
      <c r="C155" s="38">
        <v>367.21333333333331</v>
      </c>
      <c r="D155" s="38">
        <f t="shared" ref="D155" si="1013">C155*12</f>
        <v>4406.5599999999995</v>
      </c>
      <c r="E155" s="35">
        <f t="shared" si="922"/>
        <v>2.2477313482351953</v>
      </c>
      <c r="F155" s="38">
        <v>415.32</v>
      </c>
      <c r="G155" s="38">
        <v>385.65</v>
      </c>
      <c r="H155" s="38">
        <v>436.48</v>
      </c>
      <c r="I155" s="38">
        <v>492.64</v>
      </c>
      <c r="J155" s="38">
        <v>394.29</v>
      </c>
      <c r="K155" s="38">
        <v>395.04</v>
      </c>
      <c r="L155" s="38">
        <v>308.27</v>
      </c>
      <c r="M155" s="75">
        <f t="shared" si="875"/>
        <v>0.83948476816382844</v>
      </c>
      <c r="N155" s="38">
        <v>393.13</v>
      </c>
      <c r="O155" s="75">
        <f t="shared" si="886"/>
        <v>1.070576594894884</v>
      </c>
      <c r="P155" s="38">
        <v>344.44</v>
      </c>
      <c r="Q155" s="75">
        <f t="shared" si="887"/>
        <v>0.93798337024799394</v>
      </c>
      <c r="R155" s="38"/>
      <c r="S155" s="38"/>
      <c r="T155" s="38"/>
      <c r="U155" s="75">
        <f t="shared" si="888"/>
        <v>0</v>
      </c>
      <c r="V155" s="38">
        <f>T155+S155+R155+P155+N155+L155+K155+J155+I155+H155+G155+F155</f>
        <v>3565.26</v>
      </c>
      <c r="W155" s="75">
        <f t="shared" si="877"/>
        <v>0.80908009876184617</v>
      </c>
      <c r="X155" s="38">
        <f t="shared" si="889"/>
        <v>396.14000000000004</v>
      </c>
      <c r="Y155" s="83">
        <f t="shared" si="999"/>
        <v>419.90840000000003</v>
      </c>
      <c r="Z155" s="83">
        <v>435.75400000000002</v>
      </c>
      <c r="AA155" s="83">
        <f t="shared" si="758"/>
        <v>5229.0480000000007</v>
      </c>
      <c r="AB155" s="81">
        <f t="shared" si="903"/>
        <v>348.61333333333329</v>
      </c>
      <c r="AF155" s="83">
        <v>465.14</v>
      </c>
      <c r="AG155" s="103">
        <f t="shared" si="896"/>
        <v>8.8953094329981275E-2</v>
      </c>
      <c r="AH155" s="83">
        <v>436.37</v>
      </c>
      <c r="AI155" s="103">
        <f t="shared" si="896"/>
        <v>8.3451136803486967E-2</v>
      </c>
      <c r="AJ155" s="83">
        <v>574.86</v>
      </c>
      <c r="AK155" s="103">
        <f t="shared" ref="AK155:AM155" si="1014">AJ155/$AA155</f>
        <v>0.10993588125410207</v>
      </c>
      <c r="AL155" s="83">
        <v>126.41</v>
      </c>
      <c r="AM155" s="103">
        <f t="shared" si="1014"/>
        <v>2.417457250344613E-2</v>
      </c>
      <c r="AN155" s="83">
        <v>92.33</v>
      </c>
      <c r="AO155" s="103">
        <f t="shared" ref="AO155:AQ155" si="1015">AN155/$AA155</f>
        <v>1.7657133765075401E-2</v>
      </c>
      <c r="AP155" s="83">
        <v>88.82</v>
      </c>
      <c r="AQ155" s="103">
        <f t="shared" si="1015"/>
        <v>1.6985883472479119E-2</v>
      </c>
      <c r="AR155" s="83">
        <v>60.48</v>
      </c>
      <c r="AS155" s="103">
        <f t="shared" ref="AS155" si="1016">AR155/$AA155</f>
        <v>1.1566158887812846E-2</v>
      </c>
      <c r="AT155" s="83">
        <v>102.62</v>
      </c>
      <c r="AU155" s="103">
        <f t="shared" ref="AU155" si="1017">AT155/$AA155</f>
        <v>1.9624987186960225E-2</v>
      </c>
      <c r="AV155" s="83">
        <v>80.27</v>
      </c>
      <c r="AW155" s="103">
        <f t="shared" ref="AW155:BC155" si="1018">AV155/$AA155</f>
        <v>1.5350786605898432E-2</v>
      </c>
      <c r="AX155" s="83"/>
      <c r="AY155" s="103">
        <f t="shared" si="1018"/>
        <v>0</v>
      </c>
      <c r="AZ155" s="83"/>
      <c r="BA155" s="103">
        <f t="shared" si="1018"/>
        <v>0</v>
      </c>
      <c r="BB155" s="83"/>
      <c r="BC155" s="103">
        <f t="shared" si="1018"/>
        <v>0</v>
      </c>
      <c r="BD155" s="104">
        <f t="shared" si="1005"/>
        <v>2027.2999999999997</v>
      </c>
      <c r="BE155" s="103">
        <f t="shared" ref="BE155" si="1019">BD155/$AA155</f>
        <v>0.38769963480924241</v>
      </c>
    </row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zoomScale="125" workbookViewId="0">
      <selection activeCell="A16" sqref="A16"/>
    </sheetView>
  </sheetViews>
  <sheetFormatPr defaultColWidth="8.7109375" defaultRowHeight="15" x14ac:dyDescent="0.25"/>
  <cols>
    <col min="1" max="1" width="33" bestFit="1" customWidth="1"/>
    <col min="2" max="2" width="11.42578125" style="7" bestFit="1" customWidth="1"/>
    <col min="3" max="3" width="17.7109375" style="9" bestFit="1" customWidth="1"/>
    <col min="4" max="4" width="14" style="9" bestFit="1" customWidth="1"/>
    <col min="5" max="5" width="14.7109375" bestFit="1" customWidth="1"/>
    <col min="6" max="6" width="10.42578125" style="3" hidden="1" customWidth="1"/>
    <col min="7" max="7" width="14.28515625" style="3" hidden="1" customWidth="1"/>
    <col min="8" max="8" width="0" hidden="1" customWidth="1"/>
    <col min="9" max="9" width="16.28515625" style="10" hidden="1" customWidth="1"/>
    <col min="10" max="10" width="13.42578125" style="10" hidden="1" customWidth="1"/>
    <col min="11" max="11" width="13.7109375" hidden="1" customWidth="1"/>
    <col min="12" max="12" width="11.28515625" hidden="1" customWidth="1"/>
    <col min="13" max="13" width="13" bestFit="1" customWidth="1"/>
  </cols>
  <sheetData>
    <row r="1" spans="1:13" s="6" customFormat="1" x14ac:dyDescent="0.25">
      <c r="A1" s="69" t="s">
        <v>128</v>
      </c>
      <c r="B1" s="69" t="s">
        <v>129</v>
      </c>
      <c r="C1" s="70" t="s">
        <v>130</v>
      </c>
      <c r="D1" s="70" t="s">
        <v>173</v>
      </c>
      <c r="E1" s="71">
        <v>2023</v>
      </c>
      <c r="F1" s="11" t="s">
        <v>139</v>
      </c>
      <c r="G1" s="11" t="s">
        <v>115</v>
      </c>
      <c r="I1" s="8" t="s">
        <v>141</v>
      </c>
      <c r="J1" s="8" t="s">
        <v>142</v>
      </c>
      <c r="K1" s="6" t="s">
        <v>143</v>
      </c>
      <c r="L1" s="6" t="s">
        <v>144</v>
      </c>
      <c r="M1" s="6">
        <v>1.1000000000000001</v>
      </c>
    </row>
    <row r="2" spans="1:13" s="6" customFormat="1" hidden="1" x14ac:dyDescent="0.25">
      <c r="C2" s="8"/>
      <c r="D2" s="8"/>
      <c r="E2" s="68"/>
      <c r="F2" s="11"/>
      <c r="G2" s="11"/>
      <c r="I2" s="8"/>
      <c r="J2" s="8"/>
    </row>
    <row r="3" spans="1:13" x14ac:dyDescent="0.25">
      <c r="A3" t="s">
        <v>131</v>
      </c>
      <c r="B3" s="7">
        <v>222</v>
      </c>
      <c r="C3" s="9">
        <v>834.71</v>
      </c>
      <c r="D3" s="9">
        <f>(C3*12)*B3</f>
        <v>2223667.44</v>
      </c>
      <c r="E3" s="67">
        <f>D3*$M$1</f>
        <v>2446034.1840000004</v>
      </c>
      <c r="G3" s="3">
        <f t="shared" ref="G3:G8" si="0">(F3*B3)*12</f>
        <v>0</v>
      </c>
      <c r="M3" s="67"/>
    </row>
    <row r="4" spans="1:13" x14ac:dyDescent="0.25">
      <c r="A4" t="s">
        <v>159</v>
      </c>
      <c r="B4" s="7">
        <v>3</v>
      </c>
      <c r="C4" s="9">
        <v>723.6</v>
      </c>
      <c r="D4" s="9">
        <f>(C4*12)*B4</f>
        <v>26049.600000000002</v>
      </c>
      <c r="E4" s="67">
        <f t="shared" ref="E4:E11" si="1">D4*$M$1</f>
        <v>28654.560000000005</v>
      </c>
      <c r="G4" s="3">
        <f t="shared" si="0"/>
        <v>0</v>
      </c>
      <c r="M4" s="67"/>
    </row>
    <row r="5" spans="1:13" x14ac:dyDescent="0.25">
      <c r="A5" t="s">
        <v>132</v>
      </c>
      <c r="B5" s="7">
        <v>15</v>
      </c>
      <c r="C5" s="9">
        <v>417.36</v>
      </c>
      <c r="D5" s="9">
        <f t="shared" ref="D5:D8" si="2">(C5*12)*B5</f>
        <v>75124.799999999988</v>
      </c>
      <c r="E5" s="67">
        <f t="shared" si="1"/>
        <v>82637.279999999999</v>
      </c>
      <c r="G5" s="3">
        <f t="shared" si="0"/>
        <v>0</v>
      </c>
      <c r="M5" s="67"/>
    </row>
    <row r="6" spans="1:13" x14ac:dyDescent="0.25">
      <c r="A6" t="s">
        <v>136</v>
      </c>
      <c r="B6" s="7">
        <v>3</v>
      </c>
      <c r="C6" s="9">
        <v>584.29</v>
      </c>
      <c r="D6" s="9">
        <f t="shared" si="2"/>
        <v>21034.44</v>
      </c>
      <c r="E6" s="67">
        <f t="shared" si="1"/>
        <v>23137.884000000002</v>
      </c>
      <c r="G6" s="3">
        <f t="shared" si="0"/>
        <v>0</v>
      </c>
      <c r="M6" s="67"/>
    </row>
    <row r="7" spans="1:13" x14ac:dyDescent="0.25">
      <c r="A7" t="s">
        <v>137</v>
      </c>
      <c r="B7" s="7">
        <v>1</v>
      </c>
      <c r="C7" s="9">
        <v>417.36</v>
      </c>
      <c r="D7" s="9">
        <f t="shared" si="2"/>
        <v>5008.32</v>
      </c>
      <c r="E7" s="67">
        <f t="shared" si="1"/>
        <v>5509.152</v>
      </c>
      <c r="G7" s="3">
        <f t="shared" si="0"/>
        <v>0</v>
      </c>
      <c r="M7" s="67"/>
    </row>
    <row r="8" spans="1:13" x14ac:dyDescent="0.25">
      <c r="A8" t="s">
        <v>138</v>
      </c>
      <c r="B8" s="7">
        <v>6</v>
      </c>
      <c r="C8" s="9">
        <v>83.47</v>
      </c>
      <c r="D8" s="9">
        <f t="shared" si="2"/>
        <v>6009.84</v>
      </c>
      <c r="E8" s="67">
        <f t="shared" si="1"/>
        <v>6610.8240000000005</v>
      </c>
      <c r="G8" s="3">
        <f t="shared" si="0"/>
        <v>0</v>
      </c>
      <c r="M8" s="67"/>
    </row>
    <row r="9" spans="1:13" x14ac:dyDescent="0.25">
      <c r="A9" t="s">
        <v>145</v>
      </c>
      <c r="B9" s="7">
        <v>63</v>
      </c>
      <c r="D9" s="9">
        <f t="shared" ref="D9:D11" si="3">(C9*12)*B9</f>
        <v>0</v>
      </c>
      <c r="E9" s="67">
        <f t="shared" si="1"/>
        <v>0</v>
      </c>
      <c r="M9" s="67"/>
    </row>
    <row r="10" spans="1:13" x14ac:dyDescent="0.25">
      <c r="A10" t="s">
        <v>134</v>
      </c>
      <c r="B10" s="7">
        <v>0</v>
      </c>
      <c r="D10" s="9">
        <f t="shared" si="3"/>
        <v>0</v>
      </c>
      <c r="E10" s="67">
        <f t="shared" si="1"/>
        <v>0</v>
      </c>
      <c r="M10" s="67"/>
    </row>
    <row r="11" spans="1:13" x14ac:dyDescent="0.25">
      <c r="A11" t="s">
        <v>135</v>
      </c>
      <c r="B11" s="7">
        <v>9</v>
      </c>
      <c r="D11" s="9">
        <f t="shared" si="3"/>
        <v>0</v>
      </c>
      <c r="E11" s="67">
        <f t="shared" si="1"/>
        <v>0</v>
      </c>
      <c r="M11" s="67"/>
    </row>
    <row r="12" spans="1:13" x14ac:dyDescent="0.25">
      <c r="B12" s="7">
        <f>SUM(B3:B11)</f>
        <v>322</v>
      </c>
      <c r="C12" s="70" t="s">
        <v>118</v>
      </c>
      <c r="D12" s="70">
        <f>SUM(D3:D11)</f>
        <v>2356894.4399999995</v>
      </c>
      <c r="E12" s="72">
        <f>SUM(E3:E11)</f>
        <v>2592583.8840000001</v>
      </c>
      <c r="M12" s="67"/>
    </row>
    <row r="13" spans="1:13" x14ac:dyDescent="0.25">
      <c r="E13" s="67"/>
      <c r="I13" s="10">
        <f>2354880*88.5</f>
        <v>208406880</v>
      </c>
    </row>
    <row r="14" spans="1:13" x14ac:dyDescent="0.25">
      <c r="A14" t="s">
        <v>133</v>
      </c>
      <c r="B14" s="7">
        <v>22</v>
      </c>
      <c r="C14" s="9">
        <v>417.36</v>
      </c>
      <c r="D14" s="9">
        <f>(C14*12)*B14</f>
        <v>110183.03999999999</v>
      </c>
      <c r="E14" s="67">
        <f>D14*$M$1</f>
        <v>121201.344</v>
      </c>
      <c r="G14" s="3">
        <f t="shared" ref="G14" si="4">(F14*B14)*12</f>
        <v>0</v>
      </c>
      <c r="I14" s="10">
        <f>I13/100</f>
        <v>2084068.8</v>
      </c>
      <c r="M14" s="67"/>
    </row>
    <row r="15" spans="1:13" x14ac:dyDescent="0.25">
      <c r="G15" s="3">
        <f>SUM(G3:G14)</f>
        <v>0</v>
      </c>
    </row>
    <row r="16" spans="1:13" x14ac:dyDescent="0.25">
      <c r="D16" s="7"/>
      <c r="E16" s="67"/>
      <c r="M16" s="67"/>
    </row>
    <row r="17" spans="5:5" x14ac:dyDescent="0.25">
      <c r="E17" s="67"/>
    </row>
    <row r="18" spans="5:5" x14ac:dyDescent="0.25">
      <c r="E18" s="67"/>
    </row>
    <row r="34" spans="1:4" x14ac:dyDescent="0.25">
      <c r="A34" t="s">
        <v>133</v>
      </c>
      <c r="B34" s="7">
        <v>14</v>
      </c>
      <c r="C34" s="9">
        <v>301.06</v>
      </c>
      <c r="D34" s="9">
        <f>(C34*12)*B34</f>
        <v>50578.080000000002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resumo</vt:lpstr>
      <vt:lpstr>Budget</vt:lpstr>
      <vt:lpstr>Mensalidades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</dc:creator>
  <cp:lastModifiedBy>YCSA</cp:lastModifiedBy>
  <cp:lastPrinted>2021-11-25T21:34:45Z</cp:lastPrinted>
  <dcterms:created xsi:type="dcterms:W3CDTF">2019-03-12T14:05:57Z</dcterms:created>
  <dcterms:modified xsi:type="dcterms:W3CDTF">2023-11-08T15:20:11Z</dcterms:modified>
</cp:coreProperties>
</file>