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ene\Google Drive\YCSA Diretoria\Financeiro\Exercício 2022\"/>
    </mc:Choice>
  </mc:AlternateContent>
  <bookViews>
    <workbookView xWindow="0" yWindow="0" windowWidth="20355" windowHeight="7590" activeTab="1"/>
  </bookViews>
  <sheets>
    <sheet name="resumo" sheetId="3" r:id="rId1"/>
    <sheet name="Budget" sheetId="1" r:id="rId2"/>
    <sheet name="Mensalidades" sheetId="4" r:id="rId3"/>
    <sheet name="Concessionario" sheetId="6" r:id="rId4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142" i="1" l="1"/>
  <c r="U142" i="1" s="1"/>
  <c r="T143" i="1"/>
  <c r="T146" i="1"/>
  <c r="U146" i="1" s="1"/>
  <c r="T119" i="1"/>
  <c r="T124" i="1"/>
  <c r="T118" i="1"/>
  <c r="T58" i="1"/>
  <c r="T55" i="1"/>
  <c r="T63" i="1"/>
  <c r="T65" i="1"/>
  <c r="T62" i="1"/>
  <c r="T73" i="1"/>
  <c r="T26" i="1"/>
  <c r="T27" i="1"/>
  <c r="U27" i="1" s="1"/>
  <c r="T37" i="1"/>
  <c r="T35" i="1"/>
  <c r="T40" i="1"/>
  <c r="T12" i="1"/>
  <c r="U167" i="1"/>
  <c r="U166" i="1"/>
  <c r="U165" i="1"/>
  <c r="U164" i="1"/>
  <c r="U162" i="1"/>
  <c r="U161" i="1"/>
  <c r="U160" i="1"/>
  <c r="U159" i="1"/>
  <c r="U158" i="1"/>
  <c r="U155" i="1"/>
  <c r="U154" i="1"/>
  <c r="U153" i="1"/>
  <c r="U152" i="1"/>
  <c r="U151" i="1"/>
  <c r="U150" i="1"/>
  <c r="U149" i="1"/>
  <c r="U148" i="1"/>
  <c r="U147" i="1"/>
  <c r="U145" i="1"/>
  <c r="U144" i="1"/>
  <c r="U143" i="1"/>
  <c r="U141" i="1"/>
  <c r="U140" i="1"/>
  <c r="U139" i="1"/>
  <c r="U138" i="1"/>
  <c r="U137" i="1"/>
  <c r="U136" i="1"/>
  <c r="U133" i="1"/>
  <c r="U132" i="1"/>
  <c r="U131" i="1"/>
  <c r="U130" i="1"/>
  <c r="U129" i="1"/>
  <c r="U128" i="1"/>
  <c r="U127" i="1"/>
  <c r="U126" i="1"/>
  <c r="U125" i="1"/>
  <c r="U124" i="1"/>
  <c r="U123" i="1"/>
  <c r="U122" i="1"/>
  <c r="U121" i="1"/>
  <c r="U120" i="1"/>
  <c r="U119" i="1"/>
  <c r="U118" i="1"/>
  <c r="U117" i="1"/>
  <c r="U114" i="1"/>
  <c r="U113" i="1"/>
  <c r="U112" i="1"/>
  <c r="U111" i="1"/>
  <c r="U110" i="1"/>
  <c r="U108" i="1"/>
  <c r="U107" i="1"/>
  <c r="U106" i="1"/>
  <c r="U105" i="1"/>
  <c r="U104" i="1"/>
  <c r="U103" i="1"/>
  <c r="U102" i="1"/>
  <c r="U101" i="1"/>
  <c r="U100" i="1"/>
  <c r="U99" i="1"/>
  <c r="U98" i="1"/>
  <c r="U97" i="1"/>
  <c r="U96" i="1"/>
  <c r="U95" i="1"/>
  <c r="U92" i="1"/>
  <c r="U91" i="1"/>
  <c r="U90" i="1"/>
  <c r="U89" i="1"/>
  <c r="U88" i="1"/>
  <c r="U87" i="1"/>
  <c r="U86" i="1"/>
  <c r="U85" i="1"/>
  <c r="U83" i="1"/>
  <c r="U82" i="1"/>
  <c r="U81" i="1"/>
  <c r="U80" i="1"/>
  <c r="U79" i="1"/>
  <c r="U78" i="1"/>
  <c r="U76" i="1"/>
  <c r="U75" i="1"/>
  <c r="U74" i="1"/>
  <c r="U73" i="1"/>
  <c r="U72" i="1"/>
  <c r="U71" i="1"/>
  <c r="U70" i="1"/>
  <c r="U68" i="1"/>
  <c r="U66" i="1"/>
  <c r="U65" i="1"/>
  <c r="U64" i="1"/>
  <c r="U63" i="1"/>
  <c r="U62" i="1"/>
  <c r="U61" i="1"/>
  <c r="U60" i="1"/>
  <c r="U59" i="1"/>
  <c r="U58" i="1"/>
  <c r="U57" i="1"/>
  <c r="U56" i="1"/>
  <c r="U55" i="1"/>
  <c r="U49" i="1"/>
  <c r="U48" i="1"/>
  <c r="U47" i="1"/>
  <c r="U46" i="1"/>
  <c r="U45" i="1"/>
  <c r="U44" i="1"/>
  <c r="U43" i="1"/>
  <c r="U42" i="1"/>
  <c r="U41" i="1"/>
  <c r="U40" i="1"/>
  <c r="U39" i="1"/>
  <c r="U36" i="1"/>
  <c r="U35" i="1"/>
  <c r="U34" i="1"/>
  <c r="U33" i="1"/>
  <c r="U31" i="1"/>
  <c r="U29" i="1"/>
  <c r="U28" i="1"/>
  <c r="U26" i="1"/>
  <c r="U24" i="1"/>
  <c r="U23" i="1"/>
  <c r="U22" i="1"/>
  <c r="U21" i="1"/>
  <c r="U20" i="1"/>
  <c r="U19" i="1"/>
  <c r="U18" i="1"/>
  <c r="U17" i="1"/>
  <c r="U14" i="1"/>
  <c r="U13" i="1"/>
  <c r="U12" i="1"/>
  <c r="R143" i="1" l="1"/>
  <c r="R119" i="1"/>
  <c r="R124" i="1"/>
  <c r="R122" i="1"/>
  <c r="R118" i="1"/>
  <c r="R128" i="1"/>
  <c r="R125" i="1"/>
  <c r="R58" i="1"/>
  <c r="R63" i="1"/>
  <c r="R62" i="1"/>
  <c r="R55" i="1"/>
  <c r="R88" i="1"/>
  <c r="R85" i="1"/>
  <c r="R73" i="1"/>
  <c r="R83" i="1" l="1"/>
  <c r="R26" i="1"/>
  <c r="R27" i="1"/>
  <c r="S27" i="1" s="1"/>
  <c r="X37" i="1"/>
  <c r="R35" i="1"/>
  <c r="S167" i="1"/>
  <c r="S166" i="1"/>
  <c r="S165" i="1"/>
  <c r="S164" i="1"/>
  <c r="S162" i="1"/>
  <c r="S161" i="1"/>
  <c r="S160" i="1"/>
  <c r="S159" i="1"/>
  <c r="S158" i="1"/>
  <c r="S155" i="1"/>
  <c r="S152" i="1"/>
  <c r="S151" i="1"/>
  <c r="S150" i="1"/>
  <c r="S149" i="1"/>
  <c r="S148" i="1"/>
  <c r="S147" i="1"/>
  <c r="S146" i="1"/>
  <c r="S145" i="1"/>
  <c r="S144" i="1"/>
  <c r="S143" i="1"/>
  <c r="S142" i="1"/>
  <c r="S141" i="1"/>
  <c r="S140" i="1"/>
  <c r="S139" i="1"/>
  <c r="S138" i="1"/>
  <c r="S137" i="1"/>
  <c r="S136" i="1"/>
  <c r="S133" i="1"/>
  <c r="S132" i="1"/>
  <c r="S131" i="1"/>
  <c r="S130" i="1"/>
  <c r="S129" i="1"/>
  <c r="S128" i="1"/>
  <c r="S127" i="1"/>
  <c r="S126" i="1"/>
  <c r="S125" i="1"/>
  <c r="S124" i="1"/>
  <c r="S123" i="1"/>
  <c r="S122" i="1"/>
  <c r="S121" i="1"/>
  <c r="S120" i="1"/>
  <c r="S119" i="1"/>
  <c r="S118" i="1"/>
  <c r="S117" i="1"/>
  <c r="S114" i="1"/>
  <c r="S113" i="1"/>
  <c r="S112" i="1"/>
  <c r="S111" i="1"/>
  <c r="S110" i="1"/>
  <c r="S108" i="1"/>
  <c r="S107" i="1"/>
  <c r="S106" i="1"/>
  <c r="S105" i="1"/>
  <c r="S104" i="1"/>
  <c r="S103" i="1"/>
  <c r="S102" i="1"/>
  <c r="S101" i="1"/>
  <c r="S100" i="1"/>
  <c r="S99" i="1"/>
  <c r="S98" i="1"/>
  <c r="S97" i="1"/>
  <c r="S96" i="1"/>
  <c r="S95" i="1"/>
  <c r="S92" i="1"/>
  <c r="S91" i="1"/>
  <c r="S90" i="1"/>
  <c r="S89" i="1"/>
  <c r="S88" i="1"/>
  <c r="S87" i="1"/>
  <c r="S86" i="1"/>
  <c r="S85" i="1"/>
  <c r="S83" i="1"/>
  <c r="S82" i="1"/>
  <c r="S81" i="1"/>
  <c r="S80" i="1"/>
  <c r="S79" i="1"/>
  <c r="S78" i="1"/>
  <c r="S76" i="1"/>
  <c r="S75" i="1"/>
  <c r="S74" i="1"/>
  <c r="S73" i="1"/>
  <c r="S72" i="1"/>
  <c r="S71" i="1"/>
  <c r="S70" i="1"/>
  <c r="S68" i="1"/>
  <c r="S66" i="1"/>
  <c r="S65" i="1"/>
  <c r="S64" i="1"/>
  <c r="S63" i="1"/>
  <c r="S62" i="1"/>
  <c r="S61" i="1"/>
  <c r="S60" i="1"/>
  <c r="S59" i="1"/>
  <c r="S58" i="1"/>
  <c r="S57" i="1"/>
  <c r="S56" i="1"/>
  <c r="S55" i="1"/>
  <c r="S49" i="1"/>
  <c r="S48" i="1"/>
  <c r="S47" i="1"/>
  <c r="S46" i="1"/>
  <c r="S44" i="1"/>
  <c r="S43" i="1"/>
  <c r="S42" i="1"/>
  <c r="S41" i="1"/>
  <c r="S40" i="1"/>
  <c r="S39" i="1"/>
  <c r="S36" i="1"/>
  <c r="S35" i="1"/>
  <c r="S34" i="1"/>
  <c r="S33" i="1"/>
  <c r="S31" i="1"/>
  <c r="S29" i="1"/>
  <c r="S28" i="1"/>
  <c r="S26" i="1"/>
  <c r="S24" i="1"/>
  <c r="S23" i="1"/>
  <c r="S22" i="1"/>
  <c r="S21" i="1"/>
  <c r="S20" i="1"/>
  <c r="S19" i="1"/>
  <c r="S18" i="1"/>
  <c r="S17" i="1"/>
  <c r="S14" i="1"/>
  <c r="S13" i="1"/>
  <c r="P159" i="1" l="1"/>
  <c r="Q159" i="1" s="1"/>
  <c r="P137" i="1"/>
  <c r="P143" i="1"/>
  <c r="Q143" i="1" s="1"/>
  <c r="P119" i="1"/>
  <c r="Q119" i="1" s="1"/>
  <c r="P124" i="1"/>
  <c r="Q124" i="1" s="1"/>
  <c r="P118" i="1"/>
  <c r="P131" i="1"/>
  <c r="P58" i="1"/>
  <c r="Q58" i="1" s="1"/>
  <c r="P63" i="1"/>
  <c r="Q63" i="1" s="1"/>
  <c r="P65" i="1"/>
  <c r="P62" i="1"/>
  <c r="P60" i="1"/>
  <c r="P55" i="1"/>
  <c r="Q55" i="1" s="1"/>
  <c r="P88" i="1"/>
  <c r="P90" i="1"/>
  <c r="P73" i="1"/>
  <c r="Q73" i="1" s="1"/>
  <c r="P83" i="1"/>
  <c r="P31" i="1"/>
  <c r="P26" i="1"/>
  <c r="Q26" i="1"/>
  <c r="P27" i="1"/>
  <c r="Q27" i="1" s="1"/>
  <c r="P35" i="1"/>
  <c r="Q167" i="1"/>
  <c r="Q166" i="1"/>
  <c r="Q165" i="1"/>
  <c r="Q164" i="1"/>
  <c r="Q162" i="1"/>
  <c r="Q161" i="1"/>
  <c r="Q160" i="1"/>
  <c r="Q158" i="1"/>
  <c r="Q155" i="1"/>
  <c r="Q152" i="1"/>
  <c r="Q151" i="1"/>
  <c r="Q150" i="1"/>
  <c r="Q149" i="1"/>
  <c r="Q148" i="1"/>
  <c r="Q147" i="1"/>
  <c r="Q146" i="1"/>
  <c r="Q145" i="1"/>
  <c r="Q144" i="1"/>
  <c r="Q142" i="1"/>
  <c r="Q141" i="1"/>
  <c r="Q140" i="1"/>
  <c r="Q139" i="1"/>
  <c r="Q138" i="1"/>
  <c r="Q137" i="1"/>
  <c r="Q136" i="1"/>
  <c r="Q133" i="1"/>
  <c r="Q132" i="1"/>
  <c r="Q131" i="1"/>
  <c r="Q130" i="1"/>
  <c r="Q129" i="1"/>
  <c r="Q128" i="1"/>
  <c r="Q127" i="1"/>
  <c r="Q126" i="1"/>
  <c r="Q125" i="1"/>
  <c r="Q123" i="1"/>
  <c r="Q122" i="1"/>
  <c r="Q121" i="1"/>
  <c r="Q120" i="1"/>
  <c r="Q118" i="1"/>
  <c r="Q117" i="1"/>
  <c r="Q114" i="1"/>
  <c r="Q113" i="1"/>
  <c r="Q112" i="1"/>
  <c r="Q111" i="1"/>
  <c r="Q110" i="1"/>
  <c r="Q108" i="1"/>
  <c r="Q107" i="1"/>
  <c r="Q106" i="1"/>
  <c r="Q105" i="1"/>
  <c r="Q104" i="1"/>
  <c r="Q103" i="1"/>
  <c r="Q102" i="1"/>
  <c r="Q101" i="1"/>
  <c r="Q100" i="1"/>
  <c r="Q99" i="1"/>
  <c r="Q98" i="1"/>
  <c r="Q97" i="1"/>
  <c r="Q96" i="1"/>
  <c r="Q95" i="1"/>
  <c r="Q92" i="1"/>
  <c r="Q91" i="1"/>
  <c r="Q90" i="1"/>
  <c r="Q89" i="1"/>
  <c r="Q88" i="1"/>
  <c r="Q87" i="1"/>
  <c r="Q86" i="1"/>
  <c r="Q85" i="1"/>
  <c r="Q83" i="1"/>
  <c r="Q82" i="1"/>
  <c r="Q81" i="1"/>
  <c r="Q80" i="1"/>
  <c r="Q79" i="1"/>
  <c r="Q78" i="1"/>
  <c r="Q76" i="1"/>
  <c r="Q75" i="1"/>
  <c r="Q74" i="1"/>
  <c r="Q72" i="1"/>
  <c r="Q71" i="1"/>
  <c r="Q70" i="1"/>
  <c r="Q68" i="1"/>
  <c r="Q66" i="1"/>
  <c r="Q65" i="1"/>
  <c r="Q64" i="1"/>
  <c r="Q62" i="1"/>
  <c r="Q61" i="1"/>
  <c r="Q60" i="1"/>
  <c r="Q59" i="1"/>
  <c r="Q57" i="1"/>
  <c r="Q56" i="1"/>
  <c r="Q49" i="1"/>
  <c r="Q48" i="1"/>
  <c r="Q47" i="1"/>
  <c r="Q46" i="1"/>
  <c r="Q44" i="1"/>
  <c r="Q43" i="1"/>
  <c r="Q42" i="1"/>
  <c r="Q41" i="1"/>
  <c r="Q40" i="1"/>
  <c r="Q39" i="1"/>
  <c r="Q36" i="1"/>
  <c r="Q35" i="1"/>
  <c r="Q34" i="1"/>
  <c r="Q33" i="1"/>
  <c r="Q31" i="1"/>
  <c r="Q29" i="1"/>
  <c r="Q28" i="1"/>
  <c r="Q24" i="1"/>
  <c r="Q23" i="1"/>
  <c r="Q22" i="1"/>
  <c r="Q21" i="1"/>
  <c r="Q20" i="1"/>
  <c r="Q19" i="1"/>
  <c r="Q18" i="1"/>
  <c r="Q17" i="1"/>
  <c r="Q14" i="1"/>
  <c r="Q13" i="1"/>
  <c r="N142" i="1" l="1"/>
  <c r="N143" i="1"/>
  <c r="N83" i="1"/>
  <c r="N119" i="1" l="1"/>
  <c r="N124" i="1"/>
  <c r="N118" i="1"/>
  <c r="N131" i="1"/>
  <c r="O131" i="1" s="1"/>
  <c r="N125" i="1"/>
  <c r="N58" i="1"/>
  <c r="N63" i="1"/>
  <c r="N65" i="1"/>
  <c r="O65" i="1" s="1"/>
  <c r="N62" i="1"/>
  <c r="N60" i="1"/>
  <c r="O60" i="1" s="1"/>
  <c r="N55" i="1"/>
  <c r="N73" i="1"/>
  <c r="O73" i="1" s="1"/>
  <c r="N75" i="1"/>
  <c r="N26" i="1"/>
  <c r="N27" i="1"/>
  <c r="N28" i="1"/>
  <c r="O28" i="1" s="1"/>
  <c r="N35" i="1"/>
  <c r="O167" i="1"/>
  <c r="O166" i="1"/>
  <c r="O165" i="1"/>
  <c r="O164" i="1"/>
  <c r="O162" i="1"/>
  <c r="O161" i="1"/>
  <c r="O160" i="1"/>
  <c r="O159" i="1"/>
  <c r="O158" i="1"/>
  <c r="O155" i="1"/>
  <c r="O152" i="1"/>
  <c r="O151" i="1"/>
  <c r="O150" i="1"/>
  <c r="O149" i="1"/>
  <c r="O148" i="1"/>
  <c r="O147" i="1"/>
  <c r="O146" i="1"/>
  <c r="O145" i="1"/>
  <c r="O144" i="1"/>
  <c r="O143" i="1"/>
  <c r="O142" i="1"/>
  <c r="O141" i="1"/>
  <c r="O140" i="1"/>
  <c r="O139" i="1"/>
  <c r="O138" i="1"/>
  <c r="O137" i="1"/>
  <c r="O136" i="1"/>
  <c r="O133" i="1"/>
  <c r="O132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4" i="1"/>
  <c r="O113" i="1"/>
  <c r="O112" i="1"/>
  <c r="O111" i="1"/>
  <c r="O110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2" i="1"/>
  <c r="O91" i="1"/>
  <c r="O90" i="1"/>
  <c r="O89" i="1"/>
  <c r="O88" i="1"/>
  <c r="O87" i="1"/>
  <c r="O86" i="1"/>
  <c r="O85" i="1"/>
  <c r="O83" i="1"/>
  <c r="O82" i="1"/>
  <c r="O81" i="1"/>
  <c r="O80" i="1"/>
  <c r="O79" i="1"/>
  <c r="O78" i="1"/>
  <c r="O76" i="1"/>
  <c r="O75" i="1"/>
  <c r="O74" i="1"/>
  <c r="O72" i="1"/>
  <c r="O71" i="1"/>
  <c r="O70" i="1"/>
  <c r="O68" i="1"/>
  <c r="O66" i="1"/>
  <c r="O64" i="1"/>
  <c r="O63" i="1"/>
  <c r="O62" i="1"/>
  <c r="O61" i="1"/>
  <c r="O59" i="1"/>
  <c r="O58" i="1"/>
  <c r="O57" i="1"/>
  <c r="O56" i="1"/>
  <c r="O55" i="1"/>
  <c r="O49" i="1"/>
  <c r="O48" i="1"/>
  <c r="O47" i="1"/>
  <c r="O46" i="1"/>
  <c r="O44" i="1"/>
  <c r="O43" i="1"/>
  <c r="O42" i="1"/>
  <c r="O41" i="1"/>
  <c r="O40" i="1"/>
  <c r="O39" i="1"/>
  <c r="O36" i="1"/>
  <c r="O35" i="1"/>
  <c r="O34" i="1"/>
  <c r="O33" i="1"/>
  <c r="O31" i="1"/>
  <c r="O29" i="1"/>
  <c r="O27" i="1"/>
  <c r="O26" i="1"/>
  <c r="O24" i="1"/>
  <c r="O23" i="1"/>
  <c r="O22" i="1"/>
  <c r="O21" i="1"/>
  <c r="O20" i="1"/>
  <c r="O19" i="1"/>
  <c r="O18" i="1"/>
  <c r="O17" i="1"/>
  <c r="O14" i="1"/>
  <c r="O13" i="1"/>
  <c r="W167" i="1"/>
  <c r="W165" i="1"/>
  <c r="W164" i="1"/>
  <c r="W162" i="1"/>
  <c r="W161" i="1"/>
  <c r="W160" i="1"/>
  <c r="W159" i="1"/>
  <c r="W158" i="1"/>
  <c r="W155" i="1"/>
  <c r="W152" i="1"/>
  <c r="W151" i="1"/>
  <c r="W150" i="1"/>
  <c r="W149" i="1"/>
  <c r="W148" i="1"/>
  <c r="W147" i="1"/>
  <c r="W146" i="1"/>
  <c r="W145" i="1"/>
  <c r="W144" i="1"/>
  <c r="W143" i="1"/>
  <c r="W141" i="1"/>
  <c r="W140" i="1"/>
  <c r="W139" i="1"/>
  <c r="W136" i="1"/>
  <c r="W133" i="1"/>
  <c r="W132" i="1"/>
  <c r="W131" i="1"/>
  <c r="W130" i="1"/>
  <c r="W129" i="1"/>
  <c r="W128" i="1"/>
  <c r="W127" i="1"/>
  <c r="W126" i="1"/>
  <c r="W125" i="1"/>
  <c r="W123" i="1"/>
  <c r="W122" i="1"/>
  <c r="W121" i="1"/>
  <c r="W120" i="1"/>
  <c r="W117" i="1"/>
  <c r="W114" i="1"/>
  <c r="W113" i="1"/>
  <c r="W112" i="1"/>
  <c r="W111" i="1"/>
  <c r="W110" i="1"/>
  <c r="W106" i="1"/>
  <c r="W105" i="1"/>
  <c r="W104" i="1"/>
  <c r="W103" i="1"/>
  <c r="W102" i="1"/>
  <c r="W100" i="1"/>
  <c r="W99" i="1"/>
  <c r="W98" i="1"/>
  <c r="W97" i="1"/>
  <c r="W96" i="1"/>
  <c r="W95" i="1"/>
  <c r="W92" i="1"/>
  <c r="W91" i="1"/>
  <c r="W90" i="1"/>
  <c r="W89" i="1"/>
  <c r="W88" i="1"/>
  <c r="W87" i="1"/>
  <c r="W86" i="1"/>
  <c r="W85" i="1"/>
  <c r="W82" i="1"/>
  <c r="W81" i="1"/>
  <c r="W80" i="1"/>
  <c r="W79" i="1"/>
  <c r="W78" i="1"/>
  <c r="W76" i="1"/>
  <c r="W74" i="1"/>
  <c r="W72" i="1"/>
  <c r="W71" i="1"/>
  <c r="W70" i="1"/>
  <c r="W68" i="1"/>
  <c r="W66" i="1"/>
  <c r="W64" i="1"/>
  <c r="W61" i="1"/>
  <c r="W59" i="1"/>
  <c r="W57" i="1"/>
  <c r="W48" i="1"/>
  <c r="W47" i="1"/>
  <c r="W46" i="1"/>
  <c r="W44" i="1"/>
  <c r="W43" i="1"/>
  <c r="W42" i="1"/>
  <c r="W41" i="1"/>
  <c r="W40" i="1"/>
  <c r="W39" i="1"/>
  <c r="W34" i="1"/>
  <c r="W33" i="1"/>
  <c r="W29" i="1"/>
  <c r="W28" i="1"/>
  <c r="W24" i="1"/>
  <c r="W23" i="1"/>
  <c r="W22" i="1"/>
  <c r="W21" i="1"/>
  <c r="W20" i="1"/>
  <c r="W19" i="1"/>
  <c r="W18" i="1"/>
  <c r="W17" i="1"/>
  <c r="W14" i="1"/>
  <c r="W13" i="1"/>
  <c r="W12" i="1"/>
  <c r="Y14" i="1" l="1"/>
  <c r="M167" i="1"/>
  <c r="M165" i="1"/>
  <c r="M164" i="1"/>
  <c r="M162" i="1"/>
  <c r="M161" i="1"/>
  <c r="M160" i="1"/>
  <c r="M159" i="1"/>
  <c r="M158" i="1"/>
  <c r="M155" i="1"/>
  <c r="M152" i="1"/>
  <c r="M150" i="1"/>
  <c r="M148" i="1"/>
  <c r="M147" i="1"/>
  <c r="M146" i="1"/>
  <c r="M145" i="1"/>
  <c r="M144" i="1"/>
  <c r="M143" i="1"/>
  <c r="M142" i="1"/>
  <c r="M141" i="1"/>
  <c r="M140" i="1"/>
  <c r="M139" i="1"/>
  <c r="M138" i="1"/>
  <c r="M137" i="1"/>
  <c r="M136" i="1"/>
  <c r="M133" i="1"/>
  <c r="M132" i="1"/>
  <c r="M131" i="1"/>
  <c r="M130" i="1"/>
  <c r="M129" i="1"/>
  <c r="M128" i="1"/>
  <c r="M127" i="1"/>
  <c r="M126" i="1"/>
  <c r="M125" i="1"/>
  <c r="M123" i="1"/>
  <c r="M122" i="1"/>
  <c r="M121" i="1"/>
  <c r="M120" i="1"/>
  <c r="M117" i="1"/>
  <c r="M114" i="1"/>
  <c r="M113" i="1"/>
  <c r="M112" i="1"/>
  <c r="M111" i="1"/>
  <c r="M110" i="1"/>
  <c r="M108" i="1"/>
  <c r="M107" i="1"/>
  <c r="M106" i="1"/>
  <c r="M105" i="1"/>
  <c r="M104" i="1"/>
  <c r="M103" i="1"/>
  <c r="M102" i="1"/>
  <c r="M101" i="1"/>
  <c r="M100" i="1"/>
  <c r="M99" i="1"/>
  <c r="M98" i="1"/>
  <c r="M97" i="1"/>
  <c r="M96" i="1"/>
  <c r="M95" i="1"/>
  <c r="M92" i="1"/>
  <c r="M91" i="1"/>
  <c r="M90" i="1"/>
  <c r="M88" i="1"/>
  <c r="M87" i="1"/>
  <c r="M86" i="1"/>
  <c r="M85" i="1"/>
  <c r="M82" i="1"/>
  <c r="M81" i="1"/>
  <c r="M80" i="1"/>
  <c r="M79" i="1"/>
  <c r="M78" i="1"/>
  <c r="M76" i="1"/>
  <c r="M75" i="1"/>
  <c r="M74" i="1"/>
  <c r="M73" i="1"/>
  <c r="M72" i="1"/>
  <c r="M70" i="1"/>
  <c r="M68" i="1"/>
  <c r="M66" i="1"/>
  <c r="M64" i="1"/>
  <c r="M61" i="1"/>
  <c r="M60" i="1"/>
  <c r="M59" i="1"/>
  <c r="M57" i="1"/>
  <c r="M48" i="1"/>
  <c r="M47" i="1"/>
  <c r="M46" i="1"/>
  <c r="M44" i="1"/>
  <c r="M43" i="1"/>
  <c r="M42" i="1"/>
  <c r="M41" i="1"/>
  <c r="M40" i="1"/>
  <c r="M39" i="1"/>
  <c r="M34" i="1"/>
  <c r="M33" i="1"/>
  <c r="M31" i="1"/>
  <c r="M29" i="1"/>
  <c r="M28" i="1"/>
  <c r="M26" i="1"/>
  <c r="M24" i="1"/>
  <c r="M23" i="1"/>
  <c r="M22" i="1"/>
  <c r="M21" i="1"/>
  <c r="M20" i="1"/>
  <c r="M19" i="1"/>
  <c r="M18" i="1"/>
  <c r="M17" i="1"/>
  <c r="M14" i="1"/>
  <c r="M13" i="1"/>
  <c r="L151" i="1" l="1"/>
  <c r="M151" i="1" s="1"/>
  <c r="L149" i="1"/>
  <c r="M149" i="1" s="1"/>
  <c r="L119" i="1"/>
  <c r="M119" i="1" s="1"/>
  <c r="L118" i="1"/>
  <c r="M118" i="1" s="1"/>
  <c r="L124" i="1"/>
  <c r="M124" i="1" s="1"/>
  <c r="L58" i="1"/>
  <c r="M58" i="1" s="1"/>
  <c r="L63" i="1"/>
  <c r="M63" i="1" s="1"/>
  <c r="L65" i="1"/>
  <c r="M65" i="1" s="1"/>
  <c r="L62" i="1"/>
  <c r="M62" i="1" s="1"/>
  <c r="L55" i="1"/>
  <c r="M55" i="1" s="1"/>
  <c r="L89" i="1"/>
  <c r="M89" i="1" s="1"/>
  <c r="L71" i="1"/>
  <c r="M71" i="1" s="1"/>
  <c r="L83" i="1"/>
  <c r="M83" i="1" s="1"/>
  <c r="L27" i="1"/>
  <c r="M27" i="1" s="1"/>
  <c r="L35" i="1"/>
  <c r="M35" i="1" s="1"/>
  <c r="K82" i="1" l="1"/>
  <c r="K138" i="1"/>
  <c r="K142" i="1"/>
  <c r="K136" i="1"/>
  <c r="K147" i="1"/>
  <c r="K143" i="1"/>
  <c r="K119" i="1"/>
  <c r="K124" i="1"/>
  <c r="K118" i="1"/>
  <c r="K128" i="1"/>
  <c r="K131" i="1"/>
  <c r="K58" i="1"/>
  <c r="K63" i="1"/>
  <c r="K65" i="1"/>
  <c r="K62" i="1"/>
  <c r="K55" i="1"/>
  <c r="K73" i="1"/>
  <c r="K83" i="1"/>
  <c r="K26" i="1"/>
  <c r="K27" i="1"/>
  <c r="K35" i="1"/>
  <c r="K25" i="1" l="1"/>
  <c r="J142" i="1"/>
  <c r="J119" i="1"/>
  <c r="J124" i="1"/>
  <c r="J118" i="1"/>
  <c r="J62" i="1"/>
  <c r="J55" i="1"/>
  <c r="J108" i="1"/>
  <c r="J95" i="1"/>
  <c r="J83" i="1"/>
  <c r="J35" i="1"/>
  <c r="J31" i="1" l="1"/>
  <c r="J26" i="1"/>
  <c r="J27" i="1"/>
  <c r="J138" i="1"/>
  <c r="J143" i="1"/>
  <c r="J58" i="1"/>
  <c r="J64" i="1"/>
  <c r="J63" i="1"/>
  <c r="J65" i="1"/>
  <c r="J60" i="1"/>
  <c r="I137" i="1" l="1"/>
  <c r="W137" i="1" s="1"/>
  <c r="I138" i="1" l="1"/>
  <c r="W138" i="1" s="1"/>
  <c r="I142" i="1"/>
  <c r="W142" i="1" s="1"/>
  <c r="I119" i="1"/>
  <c r="W119" i="1" s="1"/>
  <c r="I124" i="1"/>
  <c r="W124" i="1" s="1"/>
  <c r="I118" i="1"/>
  <c r="W118" i="1" s="1"/>
  <c r="I58" i="1"/>
  <c r="W58" i="1" s="1"/>
  <c r="I83" i="1"/>
  <c r="W83" i="1" s="1"/>
  <c r="I63" i="1"/>
  <c r="W63" i="1" s="1"/>
  <c r="I65" i="1"/>
  <c r="W65" i="1" s="1"/>
  <c r="I62" i="1"/>
  <c r="W62" i="1" s="1"/>
  <c r="I60" i="1"/>
  <c r="W60" i="1" s="1"/>
  <c r="I55" i="1"/>
  <c r="W55" i="1" s="1"/>
  <c r="I107" i="1"/>
  <c r="W107" i="1" s="1"/>
  <c r="I108" i="1"/>
  <c r="W108" i="1" s="1"/>
  <c r="I101" i="1"/>
  <c r="W101" i="1" s="1"/>
  <c r="I73" i="1"/>
  <c r="W73" i="1" s="1"/>
  <c r="I75" i="1"/>
  <c r="W75" i="1" s="1"/>
  <c r="I31" i="1"/>
  <c r="W31" i="1" s="1"/>
  <c r="I26" i="1"/>
  <c r="W26" i="1" s="1"/>
  <c r="I27" i="1"/>
  <c r="W27" i="1" s="1"/>
  <c r="I35" i="1"/>
  <c r="W35" i="1" s="1"/>
  <c r="H164" i="1" l="1"/>
  <c r="H138" i="1"/>
  <c r="H142" i="1"/>
  <c r="H136" i="1"/>
  <c r="H143" i="1"/>
  <c r="H149" i="1"/>
  <c r="H119" i="1"/>
  <c r="H124" i="1"/>
  <c r="H118" i="1"/>
  <c r="H58" i="1"/>
  <c r="H63" i="1"/>
  <c r="H65" i="1"/>
  <c r="H62" i="1"/>
  <c r="H55" i="1"/>
  <c r="H108" i="1"/>
  <c r="H88" i="1"/>
  <c r="H73" i="1"/>
  <c r="H83" i="1"/>
  <c r="H31" i="1"/>
  <c r="G31" i="1"/>
  <c r="H26" i="1"/>
  <c r="H35" i="1"/>
  <c r="G138" i="1" l="1"/>
  <c r="G142" i="1"/>
  <c r="G136" i="1"/>
  <c r="G143" i="1"/>
  <c r="G144" i="1"/>
  <c r="G119" i="1"/>
  <c r="G124" i="1"/>
  <c r="G118" i="1"/>
  <c r="G131" i="1"/>
  <c r="G58" i="1"/>
  <c r="G63" i="1"/>
  <c r="G65" i="1"/>
  <c r="G62" i="1"/>
  <c r="G55" i="1"/>
  <c r="G90" i="1"/>
  <c r="G73" i="1" l="1"/>
  <c r="G83" i="1"/>
  <c r="G80" i="1"/>
  <c r="G26" i="1"/>
  <c r="G27" i="1"/>
  <c r="G69" i="1" l="1"/>
  <c r="H69" i="1"/>
  <c r="I69" i="1"/>
  <c r="J69" i="1"/>
  <c r="K69" i="1"/>
  <c r="L69" i="1"/>
  <c r="M69" i="1" s="1"/>
  <c r="N69" i="1"/>
  <c r="O69" i="1" s="1"/>
  <c r="P69" i="1"/>
  <c r="Q69" i="1" s="1"/>
  <c r="R69" i="1"/>
  <c r="S69" i="1" s="1"/>
  <c r="T69" i="1"/>
  <c r="U69" i="1" s="1"/>
  <c r="V69" i="1"/>
  <c r="W69" i="1" s="1"/>
  <c r="F165" i="1"/>
  <c r="F138" i="1"/>
  <c r="F142" i="1"/>
  <c r="F136" i="1"/>
  <c r="F119" i="1"/>
  <c r="F124" i="1"/>
  <c r="F118" i="1"/>
  <c r="F131" i="1"/>
  <c r="F58" i="1"/>
  <c r="F82" i="1"/>
  <c r="F63" i="1"/>
  <c r="F65" i="1"/>
  <c r="F62" i="1"/>
  <c r="F66" i="1"/>
  <c r="F60" i="1"/>
  <c r="F55" i="1"/>
  <c r="F106" i="1"/>
  <c r="F91" i="1"/>
  <c r="F73" i="1"/>
  <c r="F75" i="1"/>
  <c r="F74" i="1"/>
  <c r="F83" i="1"/>
  <c r="F31" i="1"/>
  <c r="F29" i="1"/>
  <c r="F27" i="1"/>
  <c r="F26" i="1"/>
  <c r="F35" i="1"/>
  <c r="X167" i="1" l="1"/>
  <c r="X166" i="1"/>
  <c r="Y166" i="1" s="1"/>
  <c r="X165" i="1"/>
  <c r="X164" i="1"/>
  <c r="X162" i="1"/>
  <c r="Y162" i="1" s="1"/>
  <c r="X161" i="1"/>
  <c r="Y161" i="1" s="1"/>
  <c r="X160" i="1"/>
  <c r="Y160" i="1" s="1"/>
  <c r="X159" i="1"/>
  <c r="Y159" i="1" s="1"/>
  <c r="X158" i="1"/>
  <c r="Y158" i="1" s="1"/>
  <c r="X155" i="1"/>
  <c r="Y155" i="1" s="1"/>
  <c r="X152" i="1"/>
  <c r="Y152" i="1" s="1"/>
  <c r="X151" i="1"/>
  <c r="Y151" i="1" s="1"/>
  <c r="X150" i="1"/>
  <c r="Y150" i="1" s="1"/>
  <c r="X149" i="1"/>
  <c r="Y149" i="1" s="1"/>
  <c r="X148" i="1"/>
  <c r="Y148" i="1" s="1"/>
  <c r="X147" i="1"/>
  <c r="Y147" i="1" s="1"/>
  <c r="X146" i="1"/>
  <c r="Y146" i="1" s="1"/>
  <c r="X145" i="1"/>
  <c r="Y145" i="1" s="1"/>
  <c r="X144" i="1"/>
  <c r="Y144" i="1" s="1"/>
  <c r="X143" i="1"/>
  <c r="Y143" i="1" s="1"/>
  <c r="X142" i="1"/>
  <c r="X141" i="1"/>
  <c r="X140" i="1"/>
  <c r="X139" i="1"/>
  <c r="Y139" i="1" s="1"/>
  <c r="X138" i="1"/>
  <c r="X137" i="1"/>
  <c r="Y137" i="1" s="1"/>
  <c r="X136" i="1"/>
  <c r="X133" i="1"/>
  <c r="Y133" i="1" s="1"/>
  <c r="X132" i="1"/>
  <c r="Y132" i="1" s="1"/>
  <c r="X131" i="1"/>
  <c r="Y131" i="1" s="1"/>
  <c r="X130" i="1"/>
  <c r="Y130" i="1" s="1"/>
  <c r="X129" i="1"/>
  <c r="Y129" i="1" s="1"/>
  <c r="X128" i="1"/>
  <c r="Y128" i="1" s="1"/>
  <c r="X127" i="1"/>
  <c r="Y127" i="1" s="1"/>
  <c r="X126" i="1"/>
  <c r="Y126" i="1" s="1"/>
  <c r="X125" i="1"/>
  <c r="Y125" i="1" s="1"/>
  <c r="X124" i="1"/>
  <c r="X123" i="1"/>
  <c r="X122" i="1"/>
  <c r="X121" i="1"/>
  <c r="X120" i="1"/>
  <c r="X119" i="1"/>
  <c r="X118" i="1"/>
  <c r="X117" i="1"/>
  <c r="Y117" i="1" s="1"/>
  <c r="X114" i="1"/>
  <c r="X113" i="1"/>
  <c r="X112" i="1"/>
  <c r="X111" i="1"/>
  <c r="Y111" i="1" s="1"/>
  <c r="X110" i="1"/>
  <c r="X108" i="1"/>
  <c r="Y108" i="1" s="1"/>
  <c r="X107" i="1"/>
  <c r="Y107" i="1" s="1"/>
  <c r="X106" i="1"/>
  <c r="Y106" i="1" s="1"/>
  <c r="X105" i="1"/>
  <c r="Y105" i="1" s="1"/>
  <c r="X104" i="1"/>
  <c r="Y104" i="1" s="1"/>
  <c r="X103" i="1"/>
  <c r="Y103" i="1" s="1"/>
  <c r="X102" i="1"/>
  <c r="Y102" i="1" s="1"/>
  <c r="X101" i="1"/>
  <c r="Y101" i="1" s="1"/>
  <c r="X100" i="1"/>
  <c r="Y100" i="1" s="1"/>
  <c r="X99" i="1"/>
  <c r="Y99" i="1" s="1"/>
  <c r="X98" i="1"/>
  <c r="Y98" i="1" s="1"/>
  <c r="X97" i="1"/>
  <c r="Y97" i="1" s="1"/>
  <c r="X96" i="1"/>
  <c r="Y96" i="1" s="1"/>
  <c r="X95" i="1"/>
  <c r="Y95" i="1" s="1"/>
  <c r="X92" i="1"/>
  <c r="X91" i="1"/>
  <c r="X90" i="1"/>
  <c r="X89" i="1"/>
  <c r="X88" i="1"/>
  <c r="X87" i="1"/>
  <c r="X86" i="1"/>
  <c r="X85" i="1"/>
  <c r="X83" i="1"/>
  <c r="X82" i="1"/>
  <c r="X81" i="1"/>
  <c r="X80" i="1"/>
  <c r="Y80" i="1" s="1"/>
  <c r="X79" i="1"/>
  <c r="X78" i="1"/>
  <c r="X73" i="1"/>
  <c r="X74" i="1"/>
  <c r="X75" i="1"/>
  <c r="X76" i="1"/>
  <c r="X72" i="1"/>
  <c r="X71" i="1"/>
  <c r="X70" i="1"/>
  <c r="X68" i="1"/>
  <c r="X66" i="1"/>
  <c r="X65" i="1"/>
  <c r="X64" i="1"/>
  <c r="X63" i="1"/>
  <c r="X62" i="1"/>
  <c r="X61" i="1"/>
  <c r="X60" i="1"/>
  <c r="X59" i="1"/>
  <c r="X58" i="1"/>
  <c r="X57" i="1"/>
  <c r="X56" i="1"/>
  <c r="Y56" i="1" s="1"/>
  <c r="X55" i="1"/>
  <c r="Y55" i="1" s="1"/>
  <c r="X49" i="1"/>
  <c r="Y49" i="1" s="1"/>
  <c r="X48" i="1"/>
  <c r="Y48" i="1" s="1"/>
  <c r="X47" i="1"/>
  <c r="Y47" i="1" s="1"/>
  <c r="X46" i="1"/>
  <c r="Y46" i="1" s="1"/>
  <c r="X44" i="1"/>
  <c r="Y44" i="1" s="1"/>
  <c r="X43" i="1"/>
  <c r="Y43" i="1" s="1"/>
  <c r="X42" i="1"/>
  <c r="Y42" i="1" s="1"/>
  <c r="X41" i="1"/>
  <c r="Y41" i="1" s="1"/>
  <c r="X40" i="1"/>
  <c r="Y40" i="1" s="1"/>
  <c r="X39" i="1"/>
  <c r="Y39" i="1" s="1"/>
  <c r="X36" i="1"/>
  <c r="X35" i="1"/>
  <c r="X34" i="1"/>
  <c r="Y34" i="1" s="1"/>
  <c r="X33" i="1"/>
  <c r="Y33" i="1" s="1"/>
  <c r="X31" i="1"/>
  <c r="X29" i="1"/>
  <c r="Y29" i="1" s="1"/>
  <c r="X28" i="1"/>
  <c r="Y28" i="1" s="1"/>
  <c r="X27" i="1"/>
  <c r="Y27" i="1" s="1"/>
  <c r="X26" i="1"/>
  <c r="Y26" i="1" s="1"/>
  <c r="X24" i="1"/>
  <c r="Y24" i="1" s="1"/>
  <c r="X23" i="1"/>
  <c r="X22" i="1"/>
  <c r="Y22" i="1" s="1"/>
  <c r="X21" i="1"/>
  <c r="Y21" i="1" s="1"/>
  <c r="X20" i="1"/>
  <c r="Y20" i="1" s="1"/>
  <c r="X19" i="1"/>
  <c r="Y19" i="1" s="1"/>
  <c r="X18" i="1"/>
  <c r="X17" i="1"/>
  <c r="X13" i="1"/>
  <c r="X12" i="1"/>
  <c r="X15" i="1" s="1"/>
  <c r="V163" i="1"/>
  <c r="T163" i="1"/>
  <c r="U163" i="1" s="1"/>
  <c r="R163" i="1"/>
  <c r="S163" i="1" s="1"/>
  <c r="P163" i="1"/>
  <c r="Q163" i="1" s="1"/>
  <c r="N163" i="1"/>
  <c r="O163" i="1" s="1"/>
  <c r="L163" i="1"/>
  <c r="M163" i="1" s="1"/>
  <c r="K163" i="1"/>
  <c r="J163" i="1"/>
  <c r="I163" i="1"/>
  <c r="H163" i="1"/>
  <c r="G163" i="1"/>
  <c r="V157" i="1"/>
  <c r="T157" i="1"/>
  <c r="R157" i="1"/>
  <c r="P157" i="1"/>
  <c r="N157" i="1"/>
  <c r="L157" i="1"/>
  <c r="K157" i="1"/>
  <c r="K156" i="1" s="1"/>
  <c r="J157" i="1"/>
  <c r="J156" i="1" s="1"/>
  <c r="I157" i="1"/>
  <c r="I156" i="1" s="1"/>
  <c r="H157" i="1"/>
  <c r="H156" i="1" s="1"/>
  <c r="G157" i="1"/>
  <c r="G156" i="1" s="1"/>
  <c r="X154" i="1"/>
  <c r="V154" i="1"/>
  <c r="T154" i="1"/>
  <c r="R154" i="1"/>
  <c r="P154" i="1"/>
  <c r="N154" i="1"/>
  <c r="L154" i="1"/>
  <c r="K154" i="1"/>
  <c r="K153" i="1" s="1"/>
  <c r="J154" i="1"/>
  <c r="J153" i="1" s="1"/>
  <c r="I154" i="1"/>
  <c r="I153" i="1" s="1"/>
  <c r="H154" i="1"/>
  <c r="H153" i="1" s="1"/>
  <c r="G154" i="1"/>
  <c r="G153" i="1" s="1"/>
  <c r="X153" i="1"/>
  <c r="V153" i="1"/>
  <c r="W153" i="1" s="1"/>
  <c r="T153" i="1"/>
  <c r="V135" i="1"/>
  <c r="T135" i="1"/>
  <c r="R135" i="1"/>
  <c r="P135" i="1"/>
  <c r="N135" i="1"/>
  <c r="L135" i="1"/>
  <c r="K135" i="1"/>
  <c r="K134" i="1" s="1"/>
  <c r="J135" i="1"/>
  <c r="J134" i="1" s="1"/>
  <c r="I135" i="1"/>
  <c r="I134" i="1" s="1"/>
  <c r="H135" i="1"/>
  <c r="H134" i="1" s="1"/>
  <c r="G135" i="1"/>
  <c r="G134" i="1" s="1"/>
  <c r="V116" i="1"/>
  <c r="T116" i="1"/>
  <c r="R116" i="1"/>
  <c r="P116" i="1"/>
  <c r="N116" i="1"/>
  <c r="L116" i="1"/>
  <c r="K116" i="1"/>
  <c r="K115" i="1" s="1"/>
  <c r="J116" i="1"/>
  <c r="J115" i="1" s="1"/>
  <c r="I116" i="1"/>
  <c r="I115" i="1" s="1"/>
  <c r="H116" i="1"/>
  <c r="H115" i="1" s="1"/>
  <c r="G116" i="1"/>
  <c r="G115" i="1" s="1"/>
  <c r="V109" i="1"/>
  <c r="T109" i="1"/>
  <c r="U109" i="1" s="1"/>
  <c r="R109" i="1"/>
  <c r="S109" i="1" s="1"/>
  <c r="P109" i="1"/>
  <c r="Q109" i="1" s="1"/>
  <c r="N109" i="1"/>
  <c r="O109" i="1" s="1"/>
  <c r="L109" i="1"/>
  <c r="M109" i="1" s="1"/>
  <c r="K109" i="1"/>
  <c r="J109" i="1"/>
  <c r="I109" i="1"/>
  <c r="H109" i="1"/>
  <c r="G109" i="1"/>
  <c r="V94" i="1"/>
  <c r="T94" i="1"/>
  <c r="R94" i="1"/>
  <c r="P94" i="1"/>
  <c r="N94" i="1"/>
  <c r="O94" i="1" s="1"/>
  <c r="L94" i="1"/>
  <c r="K94" i="1"/>
  <c r="K93" i="1" s="1"/>
  <c r="J94" i="1"/>
  <c r="J93" i="1" s="1"/>
  <c r="I94" i="1"/>
  <c r="I93" i="1" s="1"/>
  <c r="H94" i="1"/>
  <c r="H93" i="1" s="1"/>
  <c r="G94" i="1"/>
  <c r="G93" i="1" s="1"/>
  <c r="V84" i="1"/>
  <c r="T84" i="1"/>
  <c r="U84" i="1" s="1"/>
  <c r="R84" i="1"/>
  <c r="S84" i="1" s="1"/>
  <c r="P84" i="1"/>
  <c r="Q84" i="1" s="1"/>
  <c r="N84" i="1"/>
  <c r="O84" i="1" s="1"/>
  <c r="L84" i="1"/>
  <c r="M84" i="1" s="1"/>
  <c r="K84" i="1"/>
  <c r="J84" i="1"/>
  <c r="I84" i="1"/>
  <c r="H84" i="1"/>
  <c r="G84" i="1"/>
  <c r="V77" i="1"/>
  <c r="T77" i="1"/>
  <c r="U77" i="1" s="1"/>
  <c r="R77" i="1"/>
  <c r="S77" i="1" s="1"/>
  <c r="P77" i="1"/>
  <c r="Q77" i="1" s="1"/>
  <c r="N77" i="1"/>
  <c r="O77" i="1" s="1"/>
  <c r="L77" i="1"/>
  <c r="M77" i="1" s="1"/>
  <c r="K77" i="1"/>
  <c r="J77" i="1"/>
  <c r="I77" i="1"/>
  <c r="H77" i="1"/>
  <c r="G77" i="1"/>
  <c r="X67" i="1"/>
  <c r="V67" i="1"/>
  <c r="T67" i="1"/>
  <c r="U67" i="1" s="1"/>
  <c r="R67" i="1"/>
  <c r="S67" i="1" s="1"/>
  <c r="P67" i="1"/>
  <c r="Q67" i="1" s="1"/>
  <c r="N67" i="1"/>
  <c r="O67" i="1" s="1"/>
  <c r="L67" i="1"/>
  <c r="M67" i="1" s="1"/>
  <c r="K67" i="1"/>
  <c r="J67" i="1"/>
  <c r="I67" i="1"/>
  <c r="H67" i="1"/>
  <c r="G67" i="1"/>
  <c r="V54" i="1"/>
  <c r="T54" i="1"/>
  <c r="U54" i="1" s="1"/>
  <c r="R54" i="1"/>
  <c r="S54" i="1" s="1"/>
  <c r="P54" i="1"/>
  <c r="Q54" i="1" s="1"/>
  <c r="N54" i="1"/>
  <c r="O54" i="1" s="1"/>
  <c r="L54" i="1"/>
  <c r="M54" i="1" s="1"/>
  <c r="K54" i="1"/>
  <c r="J54" i="1"/>
  <c r="I54" i="1"/>
  <c r="H54" i="1"/>
  <c r="G54" i="1"/>
  <c r="V45" i="1"/>
  <c r="T45" i="1"/>
  <c r="R45" i="1"/>
  <c r="S45" i="1" s="1"/>
  <c r="P45" i="1"/>
  <c r="Q45" i="1" s="1"/>
  <c r="N45" i="1"/>
  <c r="O45" i="1" s="1"/>
  <c r="L45" i="1"/>
  <c r="M45" i="1" s="1"/>
  <c r="K45" i="1"/>
  <c r="J45" i="1"/>
  <c r="I45" i="1"/>
  <c r="H45" i="1"/>
  <c r="G45" i="1"/>
  <c r="V38" i="1"/>
  <c r="T38" i="1"/>
  <c r="U38" i="1" s="1"/>
  <c r="R38" i="1"/>
  <c r="S38" i="1" s="1"/>
  <c r="P38" i="1"/>
  <c r="Q38" i="1" s="1"/>
  <c r="N38" i="1"/>
  <c r="O38" i="1" s="1"/>
  <c r="L38" i="1"/>
  <c r="M38" i="1" s="1"/>
  <c r="K38" i="1"/>
  <c r="J38" i="1"/>
  <c r="I38" i="1"/>
  <c r="H38" i="1"/>
  <c r="G38" i="1"/>
  <c r="V32" i="1"/>
  <c r="T32" i="1"/>
  <c r="U32" i="1" s="1"/>
  <c r="R32" i="1"/>
  <c r="S32" i="1" s="1"/>
  <c r="P32" i="1"/>
  <c r="Q32" i="1" s="1"/>
  <c r="N32" i="1"/>
  <c r="O32" i="1" s="1"/>
  <c r="L32" i="1"/>
  <c r="M32" i="1" s="1"/>
  <c r="K32" i="1"/>
  <c r="J32" i="1"/>
  <c r="I32" i="1"/>
  <c r="H32" i="1"/>
  <c r="G32" i="1"/>
  <c r="V30" i="1"/>
  <c r="T30" i="1"/>
  <c r="U30" i="1" s="1"/>
  <c r="R30" i="1"/>
  <c r="S30" i="1" s="1"/>
  <c r="P30" i="1"/>
  <c r="Q30" i="1" s="1"/>
  <c r="N30" i="1"/>
  <c r="O30" i="1" s="1"/>
  <c r="L30" i="1"/>
  <c r="M30" i="1" s="1"/>
  <c r="K30" i="1"/>
  <c r="J30" i="1"/>
  <c r="I30" i="1"/>
  <c r="H30" i="1"/>
  <c r="G30" i="1"/>
  <c r="V25" i="1"/>
  <c r="T25" i="1"/>
  <c r="U25" i="1" s="1"/>
  <c r="R25" i="1"/>
  <c r="S25" i="1" s="1"/>
  <c r="P25" i="1"/>
  <c r="Q25" i="1" s="1"/>
  <c r="N25" i="1"/>
  <c r="O25" i="1" s="1"/>
  <c r="L25" i="1"/>
  <c r="M25" i="1" s="1"/>
  <c r="J25" i="1"/>
  <c r="I25" i="1"/>
  <c r="H25" i="1"/>
  <c r="G25" i="1"/>
  <c r="V16" i="1"/>
  <c r="T16" i="1"/>
  <c r="U16" i="1" s="1"/>
  <c r="R16" i="1"/>
  <c r="S16" i="1" s="1"/>
  <c r="P16" i="1"/>
  <c r="Q16" i="1" s="1"/>
  <c r="N16" i="1"/>
  <c r="O16" i="1" s="1"/>
  <c r="L16" i="1"/>
  <c r="M16" i="1" s="1"/>
  <c r="K16" i="1"/>
  <c r="J16" i="1"/>
  <c r="I16" i="1"/>
  <c r="H16" i="1"/>
  <c r="G16" i="1"/>
  <c r="V15" i="1"/>
  <c r="T15" i="1"/>
  <c r="R15" i="1"/>
  <c r="P15" i="1"/>
  <c r="Q15" i="1" s="1"/>
  <c r="N15" i="1"/>
  <c r="L15" i="1"/>
  <c r="K15" i="1"/>
  <c r="K11" i="1" s="1"/>
  <c r="J15" i="1"/>
  <c r="J11" i="1" s="1"/>
  <c r="I15" i="1"/>
  <c r="I11" i="1" s="1"/>
  <c r="H15" i="1"/>
  <c r="H11" i="1" s="1"/>
  <c r="G15" i="1"/>
  <c r="G11" i="1" s="1"/>
  <c r="P11" i="1"/>
  <c r="Q11" i="1" s="1"/>
  <c r="F163" i="1"/>
  <c r="F157" i="1"/>
  <c r="F156" i="1" s="1"/>
  <c r="F154" i="1"/>
  <c r="F153" i="1" s="1"/>
  <c r="F135" i="1"/>
  <c r="F134" i="1" s="1"/>
  <c r="F116" i="1"/>
  <c r="F115" i="1" s="1"/>
  <c r="F109" i="1"/>
  <c r="F94" i="1"/>
  <c r="F93" i="1" s="1"/>
  <c r="F84" i="1"/>
  <c r="F77" i="1"/>
  <c r="F69" i="1"/>
  <c r="F67" i="1"/>
  <c r="F54" i="1"/>
  <c r="F45" i="1"/>
  <c r="F38" i="1"/>
  <c r="F32" i="1"/>
  <c r="F30" i="1"/>
  <c r="F25" i="1"/>
  <c r="F16" i="1"/>
  <c r="F15" i="1"/>
  <c r="F11" i="1" s="1"/>
  <c r="T156" i="1" l="1"/>
  <c r="U156" i="1" s="1"/>
  <c r="U157" i="1"/>
  <c r="T134" i="1"/>
  <c r="U134" i="1" s="1"/>
  <c r="U135" i="1"/>
  <c r="T115" i="1"/>
  <c r="U115" i="1" s="1"/>
  <c r="U116" i="1"/>
  <c r="T93" i="1"/>
  <c r="U93" i="1" s="1"/>
  <c r="U94" i="1"/>
  <c r="T11" i="1"/>
  <c r="U11" i="1" s="1"/>
  <c r="U15" i="1"/>
  <c r="R11" i="1"/>
  <c r="S11" i="1" s="1"/>
  <c r="S15" i="1"/>
  <c r="R156" i="1"/>
  <c r="S156" i="1" s="1"/>
  <c r="S157" i="1"/>
  <c r="R134" i="1"/>
  <c r="S134" i="1" s="1"/>
  <c r="S135" i="1"/>
  <c r="R153" i="1"/>
  <c r="S153" i="1" s="1"/>
  <c r="S154" i="1"/>
  <c r="R93" i="1"/>
  <c r="S93" i="1" s="1"/>
  <c r="S94" i="1"/>
  <c r="R115" i="1"/>
  <c r="S115" i="1" s="1"/>
  <c r="S116" i="1"/>
  <c r="P153" i="1"/>
  <c r="Q153" i="1" s="1"/>
  <c r="Q154" i="1"/>
  <c r="P156" i="1"/>
  <c r="Q156" i="1" s="1"/>
  <c r="Q157" i="1"/>
  <c r="P134" i="1"/>
  <c r="Q134" i="1" s="1"/>
  <c r="Q135" i="1"/>
  <c r="P115" i="1"/>
  <c r="Q115" i="1" s="1"/>
  <c r="Q116" i="1"/>
  <c r="P93" i="1"/>
  <c r="Q93" i="1" s="1"/>
  <c r="Q94" i="1"/>
  <c r="N11" i="1"/>
  <c r="O11" i="1" s="1"/>
  <c r="O15" i="1"/>
  <c r="N153" i="1"/>
  <c r="O153" i="1" s="1"/>
  <c r="O154" i="1"/>
  <c r="W25" i="1"/>
  <c r="N156" i="1"/>
  <c r="O156" i="1" s="1"/>
  <c r="O157" i="1"/>
  <c r="N134" i="1"/>
  <c r="O134" i="1" s="1"/>
  <c r="O135" i="1"/>
  <c r="N115" i="1"/>
  <c r="O115" i="1" s="1"/>
  <c r="O116" i="1"/>
  <c r="N93" i="1"/>
  <c r="O93" i="1" s="1"/>
  <c r="X30" i="1"/>
  <c r="Y31" i="1"/>
  <c r="V11" i="1"/>
  <c r="W11" i="1" s="1"/>
  <c r="W15" i="1"/>
  <c r="W54" i="1"/>
  <c r="W109" i="1"/>
  <c r="W154" i="1"/>
  <c r="W163" i="1"/>
  <c r="W38" i="1"/>
  <c r="W84" i="1"/>
  <c r="V93" i="1"/>
  <c r="W93" i="1" s="1"/>
  <c r="W94" i="1"/>
  <c r="V156" i="1"/>
  <c r="W156" i="1" s="1"/>
  <c r="W157" i="1"/>
  <c r="W30" i="1"/>
  <c r="V115" i="1"/>
  <c r="W115" i="1" s="1"/>
  <c r="W116" i="1"/>
  <c r="W45" i="1"/>
  <c r="W16" i="1"/>
  <c r="W32" i="1"/>
  <c r="W67" i="1"/>
  <c r="W77" i="1"/>
  <c r="V134" i="1"/>
  <c r="W134" i="1" s="1"/>
  <c r="W135" i="1"/>
  <c r="L156" i="1"/>
  <c r="M156" i="1" s="1"/>
  <c r="M157" i="1"/>
  <c r="L153" i="1"/>
  <c r="M153" i="1" s="1"/>
  <c r="M154" i="1"/>
  <c r="L93" i="1"/>
  <c r="M93" i="1" s="1"/>
  <c r="M94" i="1"/>
  <c r="L11" i="1"/>
  <c r="M11" i="1" s="1"/>
  <c r="M15" i="1"/>
  <c r="L134" i="1"/>
  <c r="M134" i="1" s="1"/>
  <c r="M135" i="1"/>
  <c r="V10" i="1"/>
  <c r="L115" i="1"/>
  <c r="M115" i="1" s="1"/>
  <c r="M116" i="1"/>
  <c r="P10" i="1"/>
  <c r="Q10" i="1" s="1"/>
  <c r="R10" i="1"/>
  <c r="S10" i="1" s="1"/>
  <c r="T53" i="1"/>
  <c r="K10" i="1"/>
  <c r="K8" i="1" s="1"/>
  <c r="K6" i="1" s="1"/>
  <c r="I10" i="1"/>
  <c r="I8" i="1" s="1"/>
  <c r="I6" i="1" s="1"/>
  <c r="X157" i="1"/>
  <c r="H53" i="1"/>
  <c r="H51" i="1" s="1"/>
  <c r="X38" i="1"/>
  <c r="J10" i="1"/>
  <c r="J8" i="1" s="1"/>
  <c r="J6" i="1" s="1"/>
  <c r="R8" i="1"/>
  <c r="X163" i="1"/>
  <c r="X116" i="1"/>
  <c r="X54" i="1"/>
  <c r="X109" i="1"/>
  <c r="X69" i="1"/>
  <c r="X77" i="1"/>
  <c r="X25" i="1"/>
  <c r="X32" i="1"/>
  <c r="X16" i="1"/>
  <c r="G10" i="1"/>
  <c r="G8" i="1" s="1"/>
  <c r="G6" i="1" s="1"/>
  <c r="X45" i="1"/>
  <c r="X135" i="1"/>
  <c r="X94" i="1"/>
  <c r="X84" i="1"/>
  <c r="X11" i="1"/>
  <c r="J53" i="1"/>
  <c r="J51" i="1" s="1"/>
  <c r="P53" i="1"/>
  <c r="H10" i="1"/>
  <c r="H8" i="1" s="1"/>
  <c r="H6" i="1" s="1"/>
  <c r="L10" i="1"/>
  <c r="T10" i="1"/>
  <c r="G53" i="1"/>
  <c r="G51" i="1" s="1"/>
  <c r="K53" i="1"/>
  <c r="K51" i="1" s="1"/>
  <c r="R53" i="1"/>
  <c r="L53" i="1"/>
  <c r="I53" i="1"/>
  <c r="I51" i="1" s="1"/>
  <c r="N53" i="1"/>
  <c r="V53" i="1"/>
  <c r="F53" i="1"/>
  <c r="F51" i="1" s="1"/>
  <c r="F10" i="1"/>
  <c r="F8" i="1" s="1"/>
  <c r="F6" i="1" s="1"/>
  <c r="I13" i="4"/>
  <c r="I14" i="4" s="1"/>
  <c r="T51" i="1" l="1"/>
  <c r="U51" i="1" s="1"/>
  <c r="U53" i="1"/>
  <c r="T8" i="1"/>
  <c r="U10" i="1"/>
  <c r="R51" i="1"/>
  <c r="S51" i="1" s="1"/>
  <c r="S53" i="1"/>
  <c r="R6" i="1"/>
  <c r="S6" i="1" s="1"/>
  <c r="S8" i="1"/>
  <c r="N10" i="1"/>
  <c r="N8" i="1" s="1"/>
  <c r="O8" i="1" s="1"/>
  <c r="P51" i="1"/>
  <c r="Q51" i="1" s="1"/>
  <c r="Q53" i="1"/>
  <c r="P8" i="1"/>
  <c r="Q8" i="1" s="1"/>
  <c r="N51" i="1"/>
  <c r="O51" i="1" s="1"/>
  <c r="O53" i="1"/>
  <c r="V8" i="1"/>
  <c r="W10" i="1"/>
  <c r="V51" i="1"/>
  <c r="W51" i="1" s="1"/>
  <c r="W53" i="1"/>
  <c r="L8" i="1"/>
  <c r="M10" i="1"/>
  <c r="X115" i="1"/>
  <c r="X93" i="1"/>
  <c r="L51" i="1"/>
  <c r="M51" i="1" s="1"/>
  <c r="M53" i="1"/>
  <c r="X134" i="1"/>
  <c r="X156" i="1"/>
  <c r="X10" i="1"/>
  <c r="X53" i="1"/>
  <c r="E31" i="1"/>
  <c r="E39" i="1"/>
  <c r="E40" i="1"/>
  <c r="E41" i="1"/>
  <c r="E42" i="1"/>
  <c r="E43" i="1"/>
  <c r="E44" i="1"/>
  <c r="E46" i="1"/>
  <c r="E47" i="1"/>
  <c r="E48" i="1"/>
  <c r="E49" i="1"/>
  <c r="E50" i="1"/>
  <c r="E55" i="1"/>
  <c r="E56" i="1"/>
  <c r="E80" i="1"/>
  <c r="E100" i="1"/>
  <c r="E111" i="1"/>
  <c r="E117" i="1"/>
  <c r="E125" i="1"/>
  <c r="E126" i="1"/>
  <c r="E127" i="1"/>
  <c r="E128" i="1"/>
  <c r="E129" i="1"/>
  <c r="E130" i="1"/>
  <c r="E131" i="1"/>
  <c r="E132" i="1"/>
  <c r="E133" i="1"/>
  <c r="E137" i="1"/>
  <c r="E139" i="1"/>
  <c r="E143" i="1"/>
  <c r="E144" i="1"/>
  <c r="E145" i="1"/>
  <c r="E146" i="1"/>
  <c r="E147" i="1"/>
  <c r="E148" i="1"/>
  <c r="E149" i="1"/>
  <c r="E150" i="1"/>
  <c r="E151" i="1"/>
  <c r="E152" i="1"/>
  <c r="E155" i="1"/>
  <c r="E158" i="1"/>
  <c r="E159" i="1"/>
  <c r="E160" i="1"/>
  <c r="E161" i="1"/>
  <c r="E162" i="1"/>
  <c r="E166" i="1"/>
  <c r="D25" i="1"/>
  <c r="Y25" i="1" s="1"/>
  <c r="T6" i="1" l="1"/>
  <c r="U6" i="1" s="1"/>
  <c r="U8" i="1"/>
  <c r="O10" i="1"/>
  <c r="P6" i="1"/>
  <c r="Q6" i="1" s="1"/>
  <c r="N6" i="1"/>
  <c r="O6" i="1" s="1"/>
  <c r="V6" i="1"/>
  <c r="W6" i="1" s="1"/>
  <c r="W8" i="1"/>
  <c r="L6" i="1"/>
  <c r="M6" i="1" s="1"/>
  <c r="M8" i="1"/>
  <c r="X51" i="1"/>
  <c r="X8" i="1"/>
  <c r="D94" i="1"/>
  <c r="Y94" i="1" s="1"/>
  <c r="X6" i="1" l="1"/>
  <c r="D45" i="1"/>
  <c r="Y45" i="1" s="1"/>
  <c r="D157" i="1" l="1"/>
  <c r="Y157" i="1" s="1"/>
  <c r="D93" i="1"/>
  <c r="Y93" i="1" s="1"/>
  <c r="F15" i="3"/>
  <c r="C15" i="3"/>
  <c r="C13" i="3"/>
  <c r="D154" i="1"/>
  <c r="D30" i="1"/>
  <c r="Y30" i="1" s="1"/>
  <c r="D92" i="1"/>
  <c r="D85" i="1"/>
  <c r="D68" i="1"/>
  <c r="Y68" i="1" s="1"/>
  <c r="D112" i="1"/>
  <c r="Y112" i="1" s="1"/>
  <c r="D113" i="1"/>
  <c r="Y113" i="1" s="1"/>
  <c r="D114" i="1"/>
  <c r="D110" i="1"/>
  <c r="Y110" i="1" s="1"/>
  <c r="D167" i="1"/>
  <c r="Y167" i="1" s="1"/>
  <c r="D165" i="1"/>
  <c r="Y165" i="1" s="1"/>
  <c r="D76" i="1"/>
  <c r="D72" i="1"/>
  <c r="D71" i="1"/>
  <c r="D138" i="1"/>
  <c r="D140" i="1"/>
  <c r="D141" i="1"/>
  <c r="Y141" i="1" s="1"/>
  <c r="D142" i="1"/>
  <c r="D136" i="1"/>
  <c r="D119" i="1"/>
  <c r="D120" i="1"/>
  <c r="D121" i="1"/>
  <c r="D122" i="1"/>
  <c r="D123" i="1"/>
  <c r="D124" i="1"/>
  <c r="D118" i="1"/>
  <c r="Y118" i="1" s="1"/>
  <c r="D23" i="1"/>
  <c r="Y23" i="1" s="1"/>
  <c r="D18" i="1"/>
  <c r="Y18" i="1" s="1"/>
  <c r="D66" i="1"/>
  <c r="D65" i="1"/>
  <c r="D64" i="1"/>
  <c r="D63" i="1"/>
  <c r="D62" i="1"/>
  <c r="D61" i="1"/>
  <c r="D60" i="1"/>
  <c r="D59" i="1"/>
  <c r="D58" i="1"/>
  <c r="D57" i="1"/>
  <c r="E59" i="1" l="1"/>
  <c r="Y59" i="1"/>
  <c r="E60" i="1"/>
  <c r="Y60" i="1"/>
  <c r="E64" i="1"/>
  <c r="Y64" i="1"/>
  <c r="E122" i="1"/>
  <c r="Y122" i="1"/>
  <c r="E136" i="1"/>
  <c r="Y136" i="1"/>
  <c r="E138" i="1"/>
  <c r="Y138" i="1"/>
  <c r="E92" i="1"/>
  <c r="Y92" i="1"/>
  <c r="E57" i="1"/>
  <c r="Y57" i="1"/>
  <c r="E61" i="1"/>
  <c r="Y61" i="1"/>
  <c r="E65" i="1"/>
  <c r="Y65" i="1"/>
  <c r="E121" i="1"/>
  <c r="Y121" i="1"/>
  <c r="E142" i="1"/>
  <c r="Y142" i="1"/>
  <c r="E71" i="1"/>
  <c r="Y71" i="1"/>
  <c r="E58" i="1"/>
  <c r="Y58" i="1"/>
  <c r="E62" i="1"/>
  <c r="Y62" i="1"/>
  <c r="E66" i="1"/>
  <c r="Y66" i="1"/>
  <c r="E124" i="1"/>
  <c r="Y124" i="1"/>
  <c r="E120" i="1"/>
  <c r="Y120" i="1"/>
  <c r="E72" i="1"/>
  <c r="Y72" i="1"/>
  <c r="E154" i="1"/>
  <c r="Y154" i="1"/>
  <c r="E63" i="1"/>
  <c r="Y63" i="1"/>
  <c r="E123" i="1"/>
  <c r="Y123" i="1"/>
  <c r="E119" i="1"/>
  <c r="Y119" i="1"/>
  <c r="E140" i="1"/>
  <c r="Y140" i="1"/>
  <c r="E76" i="1"/>
  <c r="Y76" i="1"/>
  <c r="E114" i="1"/>
  <c r="Y114" i="1"/>
  <c r="E85" i="1"/>
  <c r="Y85" i="1"/>
  <c r="D164" i="1"/>
  <c r="Y164" i="1" s="1"/>
  <c r="C18" i="3"/>
  <c r="E118" i="1"/>
  <c r="D116" i="1"/>
  <c r="D67" i="1"/>
  <c r="Y67" i="1" s="1"/>
  <c r="E68" i="1"/>
  <c r="G9" i="3"/>
  <c r="E157" i="1"/>
  <c r="E23" i="1"/>
  <c r="D70" i="1"/>
  <c r="D156" i="1"/>
  <c r="D153" i="1"/>
  <c r="D163" i="1"/>
  <c r="Y163" i="1" s="1"/>
  <c r="D54" i="1"/>
  <c r="Y54" i="1" s="1"/>
  <c r="D109" i="1"/>
  <c r="Y109" i="1" s="1"/>
  <c r="E70" i="1" l="1"/>
  <c r="Y70" i="1"/>
  <c r="E153" i="1"/>
  <c r="Y153" i="1"/>
  <c r="D115" i="1"/>
  <c r="Y115" i="1" s="1"/>
  <c r="Y116" i="1"/>
  <c r="E156" i="1"/>
  <c r="Y156" i="1"/>
  <c r="G10" i="3"/>
  <c r="G11" i="3"/>
  <c r="G7" i="3"/>
  <c r="D81" i="1"/>
  <c r="D79" i="1"/>
  <c r="E79" i="1" l="1"/>
  <c r="Y79" i="1"/>
  <c r="E81" i="1"/>
  <c r="Y81" i="1"/>
  <c r="F13" i="3"/>
  <c r="D78" i="1"/>
  <c r="E78" i="1" l="1"/>
  <c r="Y78" i="1"/>
  <c r="D73" i="1"/>
  <c r="D75" i="1"/>
  <c r="E75" i="1" l="1"/>
  <c r="Y75" i="1"/>
  <c r="E73" i="1"/>
  <c r="Y73" i="1"/>
  <c r="D35" i="1"/>
  <c r="D74" i="1"/>
  <c r="D32" i="1"/>
  <c r="Y32" i="1" s="1"/>
  <c r="D82" i="1"/>
  <c r="E82" i="1" l="1"/>
  <c r="Y82" i="1"/>
  <c r="E74" i="1"/>
  <c r="Y74" i="1"/>
  <c r="E35" i="1"/>
  <c r="Y35" i="1"/>
  <c r="D69" i="1"/>
  <c r="Y69" i="1" s="1"/>
  <c r="C24" i="3"/>
  <c r="D91" i="1" l="1"/>
  <c r="D90" i="1"/>
  <c r="D89" i="1"/>
  <c r="D88" i="1"/>
  <c r="D87" i="1"/>
  <c r="E90" i="1" l="1"/>
  <c r="Y90" i="1"/>
  <c r="E88" i="1"/>
  <c r="Y88" i="1"/>
  <c r="E89" i="1"/>
  <c r="Y89" i="1"/>
  <c r="E87" i="1"/>
  <c r="Y87" i="1"/>
  <c r="E91" i="1"/>
  <c r="Y91" i="1"/>
  <c r="D86" i="1"/>
  <c r="D83" i="1"/>
  <c r="D135" i="1"/>
  <c r="Y135" i="1" s="1"/>
  <c r="D38" i="1"/>
  <c r="Y38" i="1" s="1"/>
  <c r="E83" i="1" l="1"/>
  <c r="Y83" i="1"/>
  <c r="E86" i="1"/>
  <c r="Y86" i="1"/>
  <c r="D84" i="1"/>
  <c r="Y84" i="1" s="1"/>
  <c r="D77" i="1"/>
  <c r="Y77" i="1" s="1"/>
  <c r="C14" i="3"/>
  <c r="G8" i="3"/>
  <c r="D53" i="1"/>
  <c r="Y53" i="1" s="1"/>
  <c r="D134" i="1"/>
  <c r="Y134" i="1" s="1"/>
  <c r="E26" i="1"/>
  <c r="D17" i="1"/>
  <c r="E17" i="1" l="1"/>
  <c r="Y17" i="1"/>
  <c r="E28" i="1"/>
  <c r="D51" i="1"/>
  <c r="Y51" i="1" s="1"/>
  <c r="E29" i="1"/>
  <c r="E27" i="1"/>
  <c r="F14" i="3"/>
  <c r="D16" i="1"/>
  <c r="E19" i="1"/>
  <c r="E18" i="1"/>
  <c r="E24" i="1"/>
  <c r="D8" i="3" l="1"/>
  <c r="Y16" i="1"/>
  <c r="E25" i="1"/>
  <c r="E116" i="1"/>
  <c r="G4" i="4" l="1"/>
  <c r="D4" i="4"/>
  <c r="G3" i="4"/>
  <c r="D3" i="4"/>
  <c r="D5" i="4"/>
  <c r="D6" i="4"/>
  <c r="D7" i="4"/>
  <c r="D8" i="4"/>
  <c r="D9" i="4"/>
  <c r="D10" i="4"/>
  <c r="D11" i="4"/>
  <c r="B12" i="4"/>
  <c r="D34" i="4"/>
  <c r="D12" i="4" l="1"/>
  <c r="H16" i="3"/>
  <c r="E38" i="1"/>
  <c r="E30" i="1"/>
  <c r="E12" i="4" l="1"/>
  <c r="D12" i="1" s="1"/>
  <c r="E45" i="1"/>
  <c r="H18" i="3"/>
  <c r="E84" i="1"/>
  <c r="C12" i="1" l="1"/>
  <c r="Y12" i="1"/>
  <c r="D15" i="1"/>
  <c r="Y15" i="1" s="1"/>
  <c r="E12" i="1"/>
  <c r="E115" i="1"/>
  <c r="H13" i="3"/>
  <c r="E77" i="1"/>
  <c r="E69" i="1"/>
  <c r="E67" i="1"/>
  <c r="E54" i="1"/>
  <c r="G14" i="4"/>
  <c r="G5" i="4"/>
  <c r="G6" i="4"/>
  <c r="G7" i="4"/>
  <c r="G8" i="4"/>
  <c r="E33" i="1"/>
  <c r="Q12" i="1" l="1"/>
  <c r="S12" i="1"/>
  <c r="M12" i="1"/>
  <c r="O12" i="1"/>
  <c r="E34" i="1"/>
  <c r="G15" i="4"/>
  <c r="D3" i="6"/>
  <c r="D4" i="6"/>
  <c r="D5" i="6"/>
  <c r="D2" i="6"/>
  <c r="D14" i="4"/>
  <c r="E14" i="4" l="1"/>
  <c r="D13" i="1" s="1"/>
  <c r="E53" i="1"/>
  <c r="D6" i="6"/>
  <c r="E32" i="1"/>
  <c r="D11" i="1" l="1"/>
  <c r="Y11" i="1" s="1"/>
  <c r="Y13" i="1"/>
  <c r="D7" i="3"/>
  <c r="C6" i="3" s="1"/>
  <c r="C4" i="3" s="1"/>
  <c r="D10" i="1"/>
  <c r="E13" i="1"/>
  <c r="E21" i="1"/>
  <c r="E15" i="1"/>
  <c r="E141" i="1"/>
  <c r="D8" i="1" l="1"/>
  <c r="Y10" i="1"/>
  <c r="E16" i="1"/>
  <c r="E98" i="1"/>
  <c r="E99" i="1"/>
  <c r="E103" i="1"/>
  <c r="E107" i="1"/>
  <c r="E102" i="1"/>
  <c r="E95" i="1"/>
  <c r="E104" i="1"/>
  <c r="E108" i="1"/>
  <c r="E106" i="1"/>
  <c r="E96" i="1"/>
  <c r="E101" i="1"/>
  <c r="E105" i="1"/>
  <c r="E97" i="1"/>
  <c r="E135" i="1"/>
  <c r="E11" i="1"/>
  <c r="E94" i="1"/>
  <c r="D6" i="1" l="1"/>
  <c r="Y6" i="1" s="1"/>
  <c r="Y8" i="1"/>
  <c r="E134" i="1"/>
  <c r="B10" i="3"/>
  <c r="E10" i="1"/>
  <c r="H15" i="3"/>
  <c r="E112" i="1"/>
  <c r="E93" i="1" l="1"/>
  <c r="H14" i="3"/>
  <c r="E6" i="1" l="1"/>
  <c r="E8" i="1"/>
  <c r="E113" i="1" l="1"/>
  <c r="E110" i="1" l="1"/>
  <c r="E109" i="1" l="1"/>
  <c r="E164" i="1" l="1"/>
  <c r="E167" i="1" l="1"/>
  <c r="E165" i="1" l="1"/>
  <c r="E163" i="1" l="1"/>
  <c r="F6" i="3"/>
  <c r="H6" i="3" s="1"/>
  <c r="E51" i="1"/>
  <c r="F4" i="3" l="1"/>
  <c r="H4" i="3" l="1"/>
  <c r="C22" i="3" s="1"/>
  <c r="C25" i="3" s="1"/>
  <c r="C28" i="3" s="1"/>
  <c r="I4" i="3"/>
</calcChain>
</file>

<file path=xl/comments1.xml><?xml version="1.0" encoding="utf-8"?>
<comments xmlns="http://schemas.openxmlformats.org/spreadsheetml/2006/main">
  <authors>
    <author>YCSA</author>
    <author>Irene</author>
    <author>Peter Pondorf</author>
  </authors>
  <commentList>
    <comment ref="B12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 xml:space="preserve">Consideramos a entrada de 10 novos sócios e saída de 7
</t>
        </r>
      </text>
    </comment>
    <comment ref="B13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Consideramos 16 sócios esportistas</t>
        </r>
      </text>
    </comment>
    <comment ref="B14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Considerando a entrada de 10 novos sócios e saíde de 7
</t>
        </r>
      </text>
    </comment>
    <comment ref="B18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Consideramos a média histórica</t>
        </r>
      </text>
    </comment>
    <comment ref="B19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Consideramos a média histórica</t>
        </r>
      </text>
    </comment>
    <comment ref="B20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consideramos média histórica - utlização bolão pelos veteranos as terças e quintas</t>
        </r>
      </text>
    </comment>
    <comment ref="B21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Nesse valor consideramos aluguel, eletropaulo, IPTU. Falta estimar o valor referente ao percentual sobre faturamento</t>
        </r>
      </text>
    </comment>
    <comment ref="B23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Camisetas, bonés, malas vendidas pelo clube. Consideramos média histórica</t>
        </r>
      </text>
    </comment>
    <comment ref="B24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Consideramos os valores dos convites sociais pagos pelos sócios e os valores pagos por parceiros como Bruno da Atlantimar</t>
        </r>
      </text>
    </comment>
    <comment ref="B25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Para a escola de vela consideramos orçamento 2020
</t>
        </r>
      </text>
    </comment>
    <comment ref="B30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Estimativa rendimento aplicações</t>
        </r>
      </text>
    </comment>
    <comment ref="B33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considerando a entrada de 10 novos sócios, porém 05 vindos da EV com desconto de 20% e o restante normal</t>
        </r>
      </text>
    </comment>
    <comment ref="B35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Média histórica</t>
        </r>
      </text>
    </comment>
    <comment ref="B39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eventos pontuais onde há locação de embarcações e serviços de skipper</t>
        </r>
      </text>
    </comment>
    <comment ref="B44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Esse valor varia conforme calendário de treinos e número de esportistas. O valor dos custos com ténico e alimentação é rateado entre os participantes.</t>
        </r>
      </text>
    </comment>
    <comment ref="B47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Consideramos média histórica</t>
        </r>
      </text>
    </comment>
    <comment ref="B48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Consideramos a média histórica</t>
        </r>
      </text>
    </comment>
    <comment ref="B55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Média referente folha atual + reajuste de 4%</t>
        </r>
      </text>
    </comment>
    <comment ref="B57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Comissões Leandro e Sueli</t>
        </r>
      </text>
    </comment>
    <comment ref="B58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Média histórica com base na proposta para folha</t>
        </r>
      </text>
    </comment>
    <comment ref="B59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Valor simbólico, para caso haja alguma movimentação</t>
        </r>
      </text>
    </comment>
    <comment ref="B60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Média conforme folha</t>
        </r>
      </text>
    </comment>
    <comment ref="B61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Média conforme folha</t>
        </r>
      </text>
    </comment>
    <comment ref="B62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Média histórica conforme folha / equipe atual</t>
        </r>
      </text>
    </comment>
    <comment ref="B63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Média histórica conforme folha / equipe atual</t>
        </r>
      </text>
    </comment>
    <comment ref="B64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Previsão para cursos de capacitação como eletricista, pedreiro, carpinteiro, treinamento em trabalho em alturas, etc...</t>
        </r>
      </text>
    </comment>
    <comment ref="B65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Média histórica
</t>
        </r>
      </text>
    </comment>
    <comment ref="B66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Média histórica
</t>
        </r>
      </text>
    </comment>
    <comment ref="B68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Média histórica</t>
        </r>
      </text>
    </comment>
    <comment ref="B69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Consideramos a média histórica reajustada 
</t>
        </r>
      </text>
    </comment>
    <comment ref="B78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Média</t>
        </r>
      </text>
    </comment>
    <comment ref="B79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Média</t>
        </r>
      </text>
    </comment>
    <comment ref="B80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Média</t>
        </r>
      </text>
    </comment>
    <comment ref="B81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 xml:space="preserve">salva vidas autonomos - consideramos a utilização em metade dos finais de semana do ano
</t>
        </r>
        <r>
          <rPr>
            <sz val="9"/>
            <color rgb="FF000000"/>
            <rFont val="Segoe UI"/>
            <charset val="1"/>
          </rPr>
          <t xml:space="preserve">
</t>
        </r>
      </text>
    </comment>
    <comment ref="B82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 xml:space="preserve">02 faxineiros full time e 01 jardineiro uma vez por semana
</t>
        </r>
      </text>
    </comment>
    <comment ref="B83" authorId="0" shapeId="0">
      <text>
        <r>
          <rPr>
            <b/>
            <sz val="9"/>
            <color rgb="FF000000"/>
            <rFont val="Segoe UI"/>
            <charset val="1"/>
          </rPr>
          <t>YCSA: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Diminuimos um pouco esse valor, pois durante 2019 houveram vários serviços adicionais que não vão se repetir em 2021, como novo site, publicações em jornais por conta edital cbc, etc...</t>
        </r>
      </text>
    </comment>
    <comment ref="K83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estudo registrário</t>
        </r>
      </text>
    </comment>
    <comment ref="B84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Para esses itens utilizamos a média - orçamento 2020 acrescido de reajuste de 4%
</t>
        </r>
      </text>
    </comment>
    <comment ref="I87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referente acerto la vieiras - despesas diretoria / comodoro</t>
        </r>
      </text>
    </comment>
    <comment ref="F90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árvore natal</t>
        </r>
      </text>
    </comment>
    <comment ref="G90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ombrelones, bases de ombrelones, mat esportivo, capachos</t>
        </r>
      </text>
    </comment>
    <comment ref="B94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Utilizamos a média histórica com exceção do jantar do comodoro que em 2021 devemos realizar um evento maior</t>
        </r>
      </text>
    </comment>
    <comment ref="I96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acerto la vieiras que estava pendente
</t>
        </r>
      </text>
    </comment>
    <comment ref="K96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sinal banda</t>
        </r>
      </text>
    </comment>
    <comment ref="F106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papelaria - bazar de natal e locação equip - despesas com o concerto de natal Eloi e locação equip
</t>
        </r>
      </text>
    </comment>
    <comment ref="I107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acertos pendentes la vieiras</t>
        </r>
      </text>
    </comment>
    <comment ref="B109" authorId="0" shapeId="0">
      <text>
        <r>
          <rPr>
            <b/>
            <sz val="9"/>
            <color indexed="81"/>
            <rFont val="Segoe UI"/>
            <charset val="1"/>
          </rPr>
          <t>YCSA
Para esses itens utilizamos a média e e suspendemos o pagamento da FEVESP até a regularização da situação da mesma</t>
        </r>
      </text>
    </comment>
    <comment ref="B116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Média histórica - valores previstos para 2020 atualizados</t>
        </r>
      </text>
    </comment>
    <comment ref="I117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acerto la vieiras
</t>
        </r>
      </text>
    </comment>
    <comment ref="B135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Média histórica</t>
        </r>
      </text>
    </comment>
    <comment ref="B137" authorId="2" shapeId="0">
      <text>
        <r>
          <rPr>
            <b/>
            <sz val="9"/>
            <color rgb="FF000000"/>
            <rFont val="Segoe UI"/>
            <charset val="1"/>
          </rPr>
          <t>Peter Pondorf:</t>
        </r>
        <r>
          <rPr>
            <sz val="9"/>
            <color rgb="FF000000"/>
            <rFont val="Segoe UI"/>
            <charset val="1"/>
          </rPr>
          <t xml:space="preserve">
</t>
        </r>
        <r>
          <rPr>
            <sz val="9"/>
            <color rgb="FF000000"/>
            <rFont val="Segoe UI"/>
            <charset val="1"/>
          </rPr>
          <t>retirado Maicou</t>
        </r>
      </text>
    </comment>
    <comment ref="F144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No dia 1
15/02 foi emitido o total de 48.398,00 em boletos ref. rateio caminhão, sendo que 38.820,00 é referente ao pagto de 50.000 feito em janeiro e tem mais um pagto de 5 mil que só foi feito em fevereiro
</t>
        </r>
      </text>
    </comment>
    <comment ref="G144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frete caminhão </t>
        </r>
      </text>
    </comment>
    <comment ref="J146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geison</t>
        </r>
      </text>
    </comment>
    <comment ref="B154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Média histórica</t>
        </r>
      </text>
    </comment>
    <comment ref="B157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Média histórica</t>
        </r>
      </text>
    </comment>
    <comment ref="B163" authorId="0" shapeId="0">
      <text>
        <r>
          <rPr>
            <b/>
            <sz val="9"/>
            <color indexed="81"/>
            <rFont val="Segoe UI"/>
            <charset val="1"/>
          </rPr>
          <t>YCSA:</t>
        </r>
        <r>
          <rPr>
            <sz val="9"/>
            <color indexed="81"/>
            <rFont val="Segoe UI"/>
            <charset val="1"/>
          </rPr>
          <t xml:space="preserve">
Média histórica com exceção do IPTU que foi excluido, uma vez que os valores ainda estão sendo contestados administrativamente</t>
        </r>
      </text>
    </comment>
    <comment ref="G164" authorId="1" shapeId="0">
      <text>
        <r>
          <rPr>
            <b/>
            <sz val="9"/>
            <color indexed="81"/>
            <rFont val="Segoe UI"/>
            <charset val="1"/>
          </rPr>
          <t>Irene:</t>
        </r>
        <r>
          <rPr>
            <sz val="9"/>
            <color indexed="81"/>
            <rFont val="Segoe UI"/>
            <charset val="1"/>
          </rPr>
          <t xml:space="preserve">
resgate cdb
</t>
        </r>
      </text>
    </comment>
  </commentList>
</comments>
</file>

<file path=xl/sharedStrings.xml><?xml version="1.0" encoding="utf-8"?>
<sst xmlns="http://schemas.openxmlformats.org/spreadsheetml/2006/main" count="229" uniqueCount="204">
  <si>
    <t>RECEITAS</t>
  </si>
  <si>
    <t>RECEITAS DE CUSTEIO</t>
  </si>
  <si>
    <t>RECEITAS SOCIAIS</t>
  </si>
  <si>
    <t>Mensalidade de Sócios</t>
  </si>
  <si>
    <t>Mensalidade de Sócio Esportista</t>
  </si>
  <si>
    <t>Estadia de Barcos</t>
  </si>
  <si>
    <t>Taxa de Armário (Vestiários)</t>
  </si>
  <si>
    <t>Taxa de Armário (Hangar)</t>
  </si>
  <si>
    <t>Taxa de Bolão</t>
  </si>
  <si>
    <t>Festas Oktoberfest</t>
  </si>
  <si>
    <t>Festa Flash Back</t>
  </si>
  <si>
    <t>Festas Junina</t>
  </si>
  <si>
    <t>Festas Hallowycsa</t>
  </si>
  <si>
    <t>FUNDO PRÓ-VELA</t>
  </si>
  <si>
    <t>RECEITAS CURSO DE VELA</t>
  </si>
  <si>
    <t>curso de vela</t>
  </si>
  <si>
    <t>curso de vela adulto/arrais</t>
  </si>
  <si>
    <t>acampamento</t>
  </si>
  <si>
    <t>Receitas Financeiras</t>
  </si>
  <si>
    <t>RECEITAS EVENTUAIS</t>
  </si>
  <si>
    <t>Tx transferência</t>
  </si>
  <si>
    <t>aluguel sede</t>
  </si>
  <si>
    <t>tx de obras</t>
  </si>
  <si>
    <t>uniformes e acessórios</t>
  </si>
  <si>
    <t>venda de imobilizado / doações</t>
  </si>
  <si>
    <t>título</t>
  </si>
  <si>
    <t>RECEITAS DIRETORIA DE VELA</t>
  </si>
  <si>
    <t>DESPESAS TOTAIS</t>
  </si>
  <si>
    <t>Diretor Secretário</t>
  </si>
  <si>
    <t>Despesas com Pessoal</t>
  </si>
  <si>
    <t>Salários (exceto Escola de Vela)</t>
  </si>
  <si>
    <t>Gratificação espontânea</t>
  </si>
  <si>
    <t>Encargos</t>
  </si>
  <si>
    <t>Rescisões Contratuais</t>
  </si>
  <si>
    <t>Férias+Encargos</t>
  </si>
  <si>
    <t>13º salario+Encargos</t>
  </si>
  <si>
    <t>Capacitação Profissional</t>
  </si>
  <si>
    <t>exames médicos, uniformes, etc</t>
  </si>
  <si>
    <t>Assistência Médica</t>
  </si>
  <si>
    <t>Seguros</t>
  </si>
  <si>
    <t>Consumo</t>
  </si>
  <si>
    <t>Água e Esgoto</t>
  </si>
  <si>
    <t>Eletricidade</t>
  </si>
  <si>
    <t>Gas</t>
  </si>
  <si>
    <t>Telefone, Net, correio, cartório</t>
  </si>
  <si>
    <t>Material de escritório</t>
  </si>
  <si>
    <t>Material de consumo e limpeza</t>
  </si>
  <si>
    <t>mat. vestiário e enfermaria</t>
  </si>
  <si>
    <t>Serviços Terceirizados</t>
  </si>
  <si>
    <t>Contabilidade</t>
  </si>
  <si>
    <t>Assessoria Jurídica</t>
  </si>
  <si>
    <t>Salva Vidas</t>
  </si>
  <si>
    <t>Outros (sistema /informática / site / serviços de terceiros)</t>
  </si>
  <si>
    <t>Outras Despesas Operacionais</t>
  </si>
  <si>
    <t>Marketing (impressos diversos)</t>
  </si>
  <si>
    <t>Despesas Gerais (Lanches e refeições)</t>
  </si>
  <si>
    <t>Segurança (canil) e ração</t>
  </si>
  <si>
    <t>compra de pequenos bens</t>
  </si>
  <si>
    <t>Outros (dedetização/headhunter,etc)</t>
  </si>
  <si>
    <t>Uniformes e Acessórios para venda</t>
  </si>
  <si>
    <t>Diretoria Social</t>
  </si>
  <si>
    <t>Festas e Eventos</t>
  </si>
  <si>
    <t>Festa Junina</t>
  </si>
  <si>
    <t>Oktoberfest</t>
  </si>
  <si>
    <t>Festa de Fim de Ano</t>
  </si>
  <si>
    <t>Hallowycsa</t>
  </si>
  <si>
    <t>Homenagens</t>
  </si>
  <si>
    <t>Jantar do Comodoro</t>
  </si>
  <si>
    <t>Eventos</t>
  </si>
  <si>
    <t>Flash Back</t>
  </si>
  <si>
    <t>Outras Desp. Sociais</t>
  </si>
  <si>
    <t>FEVESP</t>
  </si>
  <si>
    <t>FENACLUBES</t>
  </si>
  <si>
    <t>CBC</t>
  </si>
  <si>
    <t>Diretoria Escola de Vela</t>
  </si>
  <si>
    <t>Despesas da Escola de Vela</t>
  </si>
  <si>
    <t>Acampamentos Escola de Vela</t>
  </si>
  <si>
    <t>Salários</t>
  </si>
  <si>
    <t>13º salario</t>
  </si>
  <si>
    <t>Gratificações</t>
  </si>
  <si>
    <t>Férias</t>
  </si>
  <si>
    <t>Alimentação de funcionários / cesta básica / exames médicos  / Vale transporte /</t>
  </si>
  <si>
    <t>Manutenção e Conservação Veleiros da Escola de Vela</t>
  </si>
  <si>
    <t>Manutenção e Conservação Botes da Escola de Vela</t>
  </si>
  <si>
    <t>Combustível (Escola de Vela)</t>
  </si>
  <si>
    <t>Materiais escola de vela</t>
  </si>
  <si>
    <t>Instrutores Colégio Britânico (autonomos)</t>
  </si>
  <si>
    <t xml:space="preserve">Autonomos </t>
  </si>
  <si>
    <t>Curso de Habilitação Náutica</t>
  </si>
  <si>
    <t>Diretoria de Vela</t>
  </si>
  <si>
    <t>Despesas</t>
  </si>
  <si>
    <t>Alimentação funcionários / cesta básica</t>
  </si>
  <si>
    <t>Viagens/estadias para regatas</t>
  </si>
  <si>
    <t>Intercambio</t>
  </si>
  <si>
    <t>Diretoria de Patrimônio</t>
  </si>
  <si>
    <t>Manutenção e Conservação de Instalações</t>
  </si>
  <si>
    <t>Manutenção e Conservação Piscina</t>
  </si>
  <si>
    <t>Manutenção e Conservação Edifícios, Muros, Cercas, etc</t>
  </si>
  <si>
    <t>Manuteção Hidráulica &amp; Elétrica</t>
  </si>
  <si>
    <t>Manutenção e Conservação Jardins</t>
  </si>
  <si>
    <t>Manutenção de Eqtos (exceto náutica)</t>
  </si>
  <si>
    <t>Impostos e Taxas</t>
  </si>
  <si>
    <t>Tributos e Taxas Municipais</t>
  </si>
  <si>
    <t>Despesas Bancárias</t>
  </si>
  <si>
    <t>IPTU</t>
  </si>
  <si>
    <t>PIS/COFINS</t>
  </si>
  <si>
    <t>Benefícios ( vale transp. + cesta básica  )</t>
  </si>
  <si>
    <t>Alimentação de funcionários</t>
  </si>
  <si>
    <t>Uniformes escola de vela</t>
  </si>
  <si>
    <t>Uniforme flotilha</t>
  </si>
  <si>
    <t>Funcionários terceirizados</t>
  </si>
  <si>
    <t xml:space="preserve">Eventos Náuticos </t>
  </si>
  <si>
    <t>despesa de deslocamento, motoboy</t>
  </si>
  <si>
    <t>Conduções, viagens, cópias</t>
  </si>
  <si>
    <t>Páscoa</t>
  </si>
  <si>
    <t>Dia das Crianças</t>
  </si>
  <si>
    <t>Carnaval</t>
  </si>
  <si>
    <t>Dia das mães</t>
  </si>
  <si>
    <t>Dia dos pais</t>
  </si>
  <si>
    <t>Natal</t>
  </si>
  <si>
    <t>FEVESP - Patrocinio (juizes)</t>
  </si>
  <si>
    <t>Valor</t>
  </si>
  <si>
    <t>Total</t>
  </si>
  <si>
    <t>SINDICLUBE</t>
  </si>
  <si>
    <t>RECEITAS FINANCEIRAS</t>
  </si>
  <si>
    <t>TOTAL</t>
  </si>
  <si>
    <t>DESPESAS</t>
  </si>
  <si>
    <t>PESSOAL</t>
  </si>
  <si>
    <t>OPERACIONAIS</t>
  </si>
  <si>
    <t>MANUTENÇÃO</t>
  </si>
  <si>
    <t>IMPOSTOS E TAXAS</t>
  </si>
  <si>
    <t>ASSOCIAÇÕES</t>
  </si>
  <si>
    <t>ADMINISTRATIVAS</t>
  </si>
  <si>
    <t>ESCOLA DE VELA</t>
  </si>
  <si>
    <t>DIRETORIA DE VELA</t>
  </si>
  <si>
    <t>Categorias</t>
  </si>
  <si>
    <t>Quantidade</t>
  </si>
  <si>
    <t>Valor mensalidade</t>
  </si>
  <si>
    <t>Proprietário</t>
  </si>
  <si>
    <t>Ausente</t>
  </si>
  <si>
    <t>Eportista</t>
  </si>
  <si>
    <t>Honorário Pagante</t>
  </si>
  <si>
    <t>Honorário não pagante</t>
  </si>
  <si>
    <t>Veterano Pagante 70%</t>
  </si>
  <si>
    <t>Veterano Pagante 50%</t>
  </si>
  <si>
    <t>Veterano Pagante 10%</t>
  </si>
  <si>
    <t>TX Obras</t>
  </si>
  <si>
    <t>Convites Sociais + (Parceiros)</t>
  </si>
  <si>
    <t>Energia</t>
  </si>
  <si>
    <t>Meses</t>
  </si>
  <si>
    <t>TX Transf</t>
  </si>
  <si>
    <t>Título</t>
  </si>
  <si>
    <t>Total Tx Transf</t>
  </si>
  <si>
    <t>Total Título</t>
  </si>
  <si>
    <t>Remido</t>
  </si>
  <si>
    <t>Auditoria Contábil</t>
  </si>
  <si>
    <t>Inscrições de regatas</t>
  </si>
  <si>
    <t>Troféus e Prêmios</t>
  </si>
  <si>
    <t>CONTRIBUIÇÕES SOCIAIS</t>
  </si>
  <si>
    <t>Concessão Restaurante</t>
  </si>
  <si>
    <t>Patrocinios</t>
  </si>
  <si>
    <t>RECEITAS DIRETORIA SOCIAL</t>
  </si>
  <si>
    <t>RECEITAS DE SERVIÇOS DIVERSOS</t>
  </si>
  <si>
    <t>DESPESAS DE CUSTEIO</t>
  </si>
  <si>
    <t>INVESTIMENTOS</t>
  </si>
  <si>
    <t>aluguel de barcos para a escola de vela</t>
  </si>
  <si>
    <t>DIFERENÇA</t>
  </si>
  <si>
    <t>Aluguel cheio</t>
  </si>
  <si>
    <t>Meio Aluguel</t>
  </si>
  <si>
    <t>meses Janeiro e Julho</t>
  </si>
  <si>
    <t>demais meses</t>
  </si>
  <si>
    <t>REAJUSTE NA MENSALIDADE</t>
  </si>
  <si>
    <t>Proposta 2021</t>
  </si>
  <si>
    <t>Proprietário individual</t>
  </si>
  <si>
    <t>CONFEDERAÇÃO BRAS VELA</t>
  </si>
  <si>
    <t>Colaboradores terceirizados (faxineira, jardineiro, porteiros)</t>
  </si>
  <si>
    <t>Proposta mensal 2022</t>
  </si>
  <si>
    <t>Variação 22/21</t>
  </si>
  <si>
    <t>Atividades flotilha - custo rateado</t>
  </si>
  <si>
    <t>Diretoria de Sustentabilidade</t>
  </si>
  <si>
    <t>Despesas de sustentabilidade</t>
  </si>
  <si>
    <t>Ações de sustentabilidade</t>
  </si>
  <si>
    <t>Aluguel de barcos</t>
  </si>
  <si>
    <t>Combustivel para campeonatos e treinos da flotilha</t>
  </si>
  <si>
    <t>Eventos Náuticos (prêmios, juria)</t>
  </si>
  <si>
    <t>Atividades da flotilha - custo rateado</t>
  </si>
  <si>
    <t>Atividades da flotilha - custo não rateado</t>
  </si>
  <si>
    <t>Manutenção botes e veleiros da flotilha</t>
  </si>
  <si>
    <t>Manutenção de lanchas de juria</t>
  </si>
  <si>
    <t>Uniformes e Adesivos Equip Vela</t>
  </si>
  <si>
    <t>CAIXA MÍNIMO</t>
  </si>
  <si>
    <t>DIRETORIA SOCIAL</t>
  </si>
  <si>
    <t>(Títulos novos sócio, eventos restaurante)</t>
  </si>
  <si>
    <t>TOTAL DE RECURSOS</t>
  </si>
  <si>
    <t>DEFICIT DO PERÍODO</t>
  </si>
  <si>
    <t>DISPONIBILIDADE P/INVESTIMENTOS</t>
  </si>
  <si>
    <t>Eventos Diversos</t>
  </si>
  <si>
    <t>Total 2021</t>
  </si>
  <si>
    <t>Total 2022 - 11,5% reajuste</t>
  </si>
  <si>
    <t>SOBRA DE CAIXA 2021</t>
  </si>
  <si>
    <t>Total 2022</t>
  </si>
  <si>
    <t>%</t>
  </si>
  <si>
    <t>Proposta 2022 - anual</t>
  </si>
  <si>
    <t>Taxa de obras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</si>
</sst>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&quot;R$&quot;#,##0.00"/>
    <numFmt numFmtId="166" formatCode="&quot;R$&quot;\ #,##0.00"/>
    <numFmt numFmtId="167" formatCode="0.0%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  <font>
      <b/>
      <sz val="11"/>
      <color theme="1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b/>
      <sz val="9"/>
      <color rgb="FF000000"/>
      <name val="Segoe UI"/>
      <charset val="1"/>
    </font>
    <font>
      <sz val="9"/>
      <color rgb="FF000000"/>
      <name val="Segoe UI"/>
      <charset val="1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9.9978637043366805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05">
    <xf numFmtId="0" fontId="0" fillId="0" borderId="0" xfId="0"/>
    <xf numFmtId="4" fontId="0" fillId="0" borderId="0" xfId="0" applyNumberFormat="1"/>
    <xf numFmtId="43" fontId="0" fillId="0" borderId="0" xfId="0" applyNumberFormat="1"/>
    <xf numFmtId="44" fontId="0" fillId="0" borderId="0" xfId="3" applyFont="1"/>
    <xf numFmtId="0" fontId="0" fillId="0" borderId="0" xfId="0" applyBorder="1"/>
    <xf numFmtId="4" fontId="0" fillId="0" borderId="0" xfId="0" applyNumberFormat="1" applyBorder="1"/>
    <xf numFmtId="43" fontId="0" fillId="0" borderId="0" xfId="0" applyNumberFormat="1" applyBorder="1"/>
    <xf numFmtId="43" fontId="0" fillId="0" borderId="0" xfId="1" applyFont="1" applyBorder="1"/>
    <xf numFmtId="0" fontId="0" fillId="0" borderId="2" xfId="0" applyBorder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65" fontId="4" fillId="0" borderId="0" xfId="0" applyNumberFormat="1" applyFont="1" applyAlignment="1">
      <alignment horizontal="center"/>
    </xf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left"/>
    </xf>
    <xf numFmtId="165" fontId="0" fillId="0" borderId="0" xfId="0" applyNumberFormat="1" applyFont="1" applyAlignment="1">
      <alignment horizontal="center"/>
    </xf>
    <xf numFmtId="44" fontId="4" fillId="0" borderId="0" xfId="3" applyFont="1" applyAlignment="1">
      <alignment horizontal="center"/>
    </xf>
    <xf numFmtId="0" fontId="0" fillId="0" borderId="0" xfId="0" applyFont="1"/>
    <xf numFmtId="43" fontId="0" fillId="0" borderId="0" xfId="1" applyFont="1"/>
    <xf numFmtId="0" fontId="0" fillId="0" borderId="3" xfId="0" applyBorder="1"/>
    <xf numFmtId="43" fontId="0" fillId="0" borderId="3" xfId="1" applyFont="1" applyBorder="1"/>
    <xf numFmtId="43" fontId="0" fillId="0" borderId="4" xfId="1" applyFont="1" applyBorder="1"/>
    <xf numFmtId="43" fontId="0" fillId="0" borderId="5" xfId="1" applyFont="1" applyBorder="1"/>
    <xf numFmtId="0" fontId="0" fillId="0" borderId="0" xfId="0" applyFill="1" applyBorder="1"/>
    <xf numFmtId="4" fontId="0" fillId="0" borderId="0" xfId="0" applyNumberFormat="1" applyBorder="1" applyAlignment="1">
      <alignment horizontal="left" indent="1"/>
    </xf>
    <xf numFmtId="0" fontId="0" fillId="0" borderId="0" xfId="0" applyBorder="1" applyAlignment="1">
      <alignment horizontal="left" indent="1"/>
    </xf>
    <xf numFmtId="0" fontId="0" fillId="0" borderId="1" xfId="0" applyBorder="1"/>
    <xf numFmtId="0" fontId="0" fillId="0" borderId="0" xfId="0" applyBorder="1" applyAlignment="1">
      <alignment horizontal="center"/>
    </xf>
    <xf numFmtId="0" fontId="0" fillId="6" borderId="6" xfId="0" applyFill="1" applyBorder="1"/>
    <xf numFmtId="4" fontId="0" fillId="0" borderId="0" xfId="0" applyNumberFormat="1" applyBorder="1" applyAlignment="1">
      <alignment horizontal="left" indent="2"/>
    </xf>
    <xf numFmtId="0" fontId="0" fillId="0" borderId="0" xfId="0" applyBorder="1" applyAlignment="1">
      <alignment horizontal="left" indent="2"/>
    </xf>
    <xf numFmtId="0" fontId="0" fillId="0" borderId="0" xfId="0" applyAlignment="1">
      <alignment horizontal="left" indent="1"/>
    </xf>
    <xf numFmtId="0" fontId="0" fillId="0" borderId="8" xfId="0" applyBorder="1"/>
    <xf numFmtId="0" fontId="0" fillId="0" borderId="9" xfId="0" applyBorder="1"/>
    <xf numFmtId="0" fontId="0" fillId="0" borderId="8" xfId="0" applyBorder="1" applyAlignment="1">
      <alignment horizontal="left" indent="1"/>
    </xf>
    <xf numFmtId="4" fontId="0" fillId="0" borderId="9" xfId="0" applyNumberFormat="1" applyBorder="1"/>
    <xf numFmtId="0" fontId="0" fillId="0" borderId="8" xfId="0" applyBorder="1" applyAlignment="1">
      <alignment horizontal="left" indent="2"/>
    </xf>
    <xf numFmtId="43" fontId="0" fillId="0" borderId="9" xfId="1" applyFont="1" applyBorder="1"/>
    <xf numFmtId="4" fontId="0" fillId="0" borderId="8" xfId="0" applyNumberFormat="1" applyBorder="1" applyAlignment="1">
      <alignment horizontal="left" indent="1"/>
    </xf>
    <xf numFmtId="0" fontId="0" fillId="0" borderId="10" xfId="0" applyBorder="1"/>
    <xf numFmtId="4" fontId="0" fillId="0" borderId="11" xfId="0" applyNumberFormat="1" applyBorder="1"/>
    <xf numFmtId="4" fontId="5" fillId="0" borderId="8" xfId="0" applyNumberFormat="1" applyFont="1" applyBorder="1" applyAlignment="1">
      <alignment horizontal="center"/>
    </xf>
    <xf numFmtId="0" fontId="0" fillId="4" borderId="0" xfId="0" applyFill="1"/>
    <xf numFmtId="0" fontId="0" fillId="4" borderId="0" xfId="0" applyFont="1" applyFill="1"/>
    <xf numFmtId="43" fontId="0" fillId="4" borderId="0" xfId="0" applyNumberFormat="1" applyFill="1"/>
    <xf numFmtId="43" fontId="0" fillId="2" borderId="0" xfId="1" applyFont="1" applyFill="1" applyBorder="1"/>
    <xf numFmtId="43" fontId="0" fillId="2" borderId="0" xfId="1" applyFont="1" applyFill="1"/>
    <xf numFmtId="167" fontId="0" fillId="0" borderId="0" xfId="2" applyNumberFormat="1" applyFont="1" applyBorder="1" applyAlignment="1">
      <alignment horizontal="center"/>
    </xf>
    <xf numFmtId="167" fontId="0" fillId="4" borderId="1" xfId="2" applyNumberFormat="1" applyFont="1" applyFill="1" applyBorder="1"/>
    <xf numFmtId="0" fontId="0" fillId="4" borderId="1" xfId="0" applyFill="1" applyBorder="1"/>
    <xf numFmtId="9" fontId="0" fillId="4" borderId="1" xfId="2" applyFont="1" applyFill="1" applyBorder="1"/>
    <xf numFmtId="0" fontId="0" fillId="0" borderId="1" xfId="0" applyFont="1" applyBorder="1"/>
    <xf numFmtId="165" fontId="0" fillId="0" borderId="1" xfId="0" applyNumberFormat="1" applyBorder="1"/>
    <xf numFmtId="44" fontId="0" fillId="4" borderId="1" xfId="3" applyFont="1" applyFill="1" applyBorder="1" applyAlignment="1">
      <alignment horizontal="right"/>
    </xf>
    <xf numFmtId="44" fontId="0" fillId="0" borderId="1" xfId="3" applyFont="1" applyBorder="1" applyAlignment="1">
      <alignment horizontal="right"/>
    </xf>
    <xf numFmtId="44" fontId="8" fillId="3" borderId="1" xfId="3" applyFont="1" applyFill="1" applyBorder="1" applyAlignment="1">
      <alignment horizontal="right" vertical="center" wrapText="1"/>
    </xf>
    <xf numFmtId="44" fontId="8" fillId="5" borderId="1" xfId="3" applyFont="1" applyFill="1" applyBorder="1" applyAlignment="1">
      <alignment horizontal="right" vertical="center"/>
    </xf>
    <xf numFmtId="44" fontId="8" fillId="6" borderId="1" xfId="3" applyFont="1" applyFill="1" applyBorder="1" applyAlignment="1">
      <alignment horizontal="right" vertical="center"/>
    </xf>
    <xf numFmtId="44" fontId="4" fillId="7" borderId="1" xfId="3" applyFont="1" applyFill="1" applyBorder="1" applyAlignment="1">
      <alignment horizontal="right" vertical="center"/>
    </xf>
    <xf numFmtId="43" fontId="0" fillId="0" borderId="1" xfId="0" applyNumberFormat="1" applyFont="1" applyBorder="1"/>
    <xf numFmtId="0" fontId="0" fillId="4" borderId="1" xfId="0" applyFont="1" applyFill="1" applyBorder="1"/>
    <xf numFmtId="166" fontId="0" fillId="0" borderId="1" xfId="0" applyNumberFormat="1" applyFont="1" applyFill="1" applyBorder="1" applyAlignment="1">
      <alignment horizontal="right"/>
    </xf>
    <xf numFmtId="44" fontId="0" fillId="0" borderId="1" xfId="3" applyFont="1" applyFill="1" applyBorder="1" applyAlignment="1">
      <alignment horizontal="right"/>
    </xf>
    <xf numFmtId="0" fontId="8" fillId="2" borderId="1" xfId="0" applyFont="1" applyFill="1" applyBorder="1" applyAlignment="1">
      <alignment horizontal="center" vertical="center"/>
    </xf>
    <xf numFmtId="17" fontId="4" fillId="2" borderId="1" xfId="1" applyNumberFormat="1" applyFont="1" applyFill="1" applyBorder="1" applyAlignment="1">
      <alignment horizontal="center" vertical="center" wrapText="1"/>
    </xf>
    <xf numFmtId="43" fontId="4" fillId="2" borderId="0" xfId="1" applyFont="1" applyFill="1" applyBorder="1" applyAlignment="1">
      <alignment horizontal="center" vertical="center" wrapText="1"/>
    </xf>
    <xf numFmtId="17" fontId="4" fillId="4" borderId="1" xfId="1" applyNumberFormat="1" applyFont="1" applyFill="1" applyBorder="1" applyAlignment="1">
      <alignment horizontal="center" vertical="center" wrapText="1"/>
    </xf>
    <xf numFmtId="43" fontId="0" fillId="0" borderId="0" xfId="0" applyNumberFormat="1" applyFont="1"/>
    <xf numFmtId="0" fontId="8" fillId="3" borderId="1" xfId="0" applyFont="1" applyFill="1" applyBorder="1" applyAlignment="1">
      <alignment vertical="center" wrapText="1"/>
    </xf>
    <xf numFmtId="166" fontId="8" fillId="3" borderId="1" xfId="0" applyNumberFormat="1" applyFont="1" applyFill="1" applyBorder="1" applyAlignment="1">
      <alignment horizontal="right" vertical="center" wrapText="1"/>
    </xf>
    <xf numFmtId="166" fontId="0" fillId="0" borderId="1" xfId="2" applyNumberFormat="1" applyFont="1" applyBorder="1" applyAlignment="1">
      <alignment horizontal="right"/>
    </xf>
    <xf numFmtId="0" fontId="0" fillId="0" borderId="1" xfId="0" applyFont="1" applyBorder="1" applyAlignment="1">
      <alignment horizontal="left"/>
    </xf>
    <xf numFmtId="0" fontId="9" fillId="0" borderId="1" xfId="0" applyFont="1" applyBorder="1"/>
    <xf numFmtId="166" fontId="0" fillId="4" borderId="1" xfId="0" applyNumberFormat="1" applyFont="1" applyFill="1" applyBorder="1" applyAlignment="1">
      <alignment horizontal="right"/>
    </xf>
    <xf numFmtId="0" fontId="8" fillId="5" borderId="1" xfId="0" applyFont="1" applyFill="1" applyBorder="1" applyAlignment="1">
      <alignment vertical="center" wrapText="1"/>
    </xf>
    <xf numFmtId="166" fontId="8" fillId="5" borderId="1" xfId="1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vertical="center" wrapText="1"/>
    </xf>
    <xf numFmtId="166" fontId="0" fillId="0" borderId="1" xfId="0" applyNumberFormat="1" applyFont="1" applyBorder="1" applyAlignment="1">
      <alignment horizontal="right"/>
    </xf>
    <xf numFmtId="164" fontId="8" fillId="5" borderId="1" xfId="1" applyNumberFormat="1" applyFont="1" applyFill="1" applyBorder="1"/>
    <xf numFmtId="0" fontId="4" fillId="6" borderId="1" xfId="0" applyFont="1" applyFill="1" applyBorder="1" applyAlignment="1">
      <alignment vertical="center" wrapText="1"/>
    </xf>
    <xf numFmtId="166" fontId="8" fillId="6" borderId="1" xfId="1" applyNumberFormat="1" applyFont="1" applyFill="1" applyBorder="1" applyAlignment="1">
      <alignment horizontal="right" vertical="center"/>
    </xf>
    <xf numFmtId="0" fontId="0" fillId="0" borderId="1" xfId="0" applyFont="1" applyBorder="1" applyAlignment="1">
      <alignment vertical="center" wrapText="1"/>
    </xf>
    <xf numFmtId="166" fontId="0" fillId="4" borderId="1" xfId="1" applyNumberFormat="1" applyFont="1" applyFill="1" applyBorder="1" applyAlignment="1">
      <alignment horizontal="right"/>
    </xf>
    <xf numFmtId="0" fontId="0" fillId="0" borderId="1" xfId="0" applyFont="1" applyBorder="1" applyAlignment="1">
      <alignment vertical="center"/>
    </xf>
    <xf numFmtId="0" fontId="0" fillId="4" borderId="1" xfId="0" applyFont="1" applyFill="1" applyBorder="1" applyAlignment="1">
      <alignment vertical="center" wrapText="1"/>
    </xf>
    <xf numFmtId="164" fontId="8" fillId="7" borderId="1" xfId="1" applyNumberFormat="1" applyFont="1" applyFill="1" applyBorder="1"/>
    <xf numFmtId="166" fontId="4" fillId="7" borderId="1" xfId="1" applyNumberFormat="1" applyFont="1" applyFill="1" applyBorder="1" applyAlignment="1">
      <alignment horizontal="right" vertical="center"/>
    </xf>
    <xf numFmtId="0" fontId="9" fillId="0" borderId="1" xfId="0" applyFont="1" applyBorder="1" applyAlignment="1">
      <alignment vertical="center" wrapText="1"/>
    </xf>
    <xf numFmtId="166" fontId="0" fillId="0" borderId="0" xfId="0" applyNumberFormat="1"/>
    <xf numFmtId="10" fontId="4" fillId="0" borderId="0" xfId="0" applyNumberFormat="1" applyFont="1" applyAlignment="1">
      <alignment horizontal="center"/>
    </xf>
    <xf numFmtId="0" fontId="4" fillId="8" borderId="0" xfId="0" applyFont="1" applyFill="1" applyAlignment="1">
      <alignment horizontal="center"/>
    </xf>
    <xf numFmtId="165" fontId="4" fillId="8" borderId="0" xfId="0" applyNumberFormat="1" applyFont="1" applyFill="1" applyAlignment="1">
      <alignment horizontal="center"/>
    </xf>
    <xf numFmtId="0" fontId="4" fillId="8" borderId="0" xfId="0" applyFont="1" applyFill="1" applyAlignment="1">
      <alignment horizontal="center" wrapText="1"/>
    </xf>
    <xf numFmtId="166" fontId="4" fillId="8" borderId="0" xfId="0" applyNumberFormat="1" applyFont="1" applyFill="1"/>
    <xf numFmtId="9" fontId="8" fillId="3" borderId="1" xfId="2" applyFont="1" applyFill="1" applyBorder="1" applyAlignment="1">
      <alignment horizontal="right" vertical="center" wrapText="1"/>
    </xf>
    <xf numFmtId="9" fontId="0" fillId="0" borderId="1" xfId="2" applyFont="1" applyBorder="1" applyAlignment="1">
      <alignment horizontal="right"/>
    </xf>
    <xf numFmtId="9" fontId="0" fillId="4" borderId="1" xfId="2" applyFont="1" applyFill="1" applyBorder="1" applyAlignment="1">
      <alignment horizontal="right"/>
    </xf>
    <xf numFmtId="9" fontId="0" fillId="0" borderId="1" xfId="2" applyFont="1" applyFill="1" applyBorder="1" applyAlignment="1">
      <alignment horizontal="right"/>
    </xf>
    <xf numFmtId="9" fontId="8" fillId="5" borderId="1" xfId="2" applyFont="1" applyFill="1" applyBorder="1" applyAlignment="1">
      <alignment horizontal="right" vertical="center"/>
    </xf>
    <xf numFmtId="9" fontId="8" fillId="6" borderId="1" xfId="2" applyFont="1" applyFill="1" applyBorder="1" applyAlignment="1">
      <alignment horizontal="right" vertical="center"/>
    </xf>
    <xf numFmtId="9" fontId="4" fillId="7" borderId="1" xfId="2" applyFont="1" applyFill="1" applyBorder="1" applyAlignment="1">
      <alignment horizontal="right" vertical="center"/>
    </xf>
    <xf numFmtId="0" fontId="0" fillId="6" borderId="7" xfId="0" applyFill="1" applyBorder="1" applyAlignment="1">
      <alignment horizontal="center"/>
    </xf>
    <xf numFmtId="0" fontId="0" fillId="6" borderId="12" xfId="0" applyFill="1" applyBorder="1" applyAlignment="1">
      <alignment horizontal="center"/>
    </xf>
    <xf numFmtId="0" fontId="0" fillId="6" borderId="13" xfId="0" applyFill="1" applyBorder="1" applyAlignment="1">
      <alignment horizontal="center"/>
    </xf>
  </cellXfs>
  <cellStyles count="4">
    <cellStyle name="Moeda" xfId="3" builtinId="4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microsoft.com/office/2017/10/relationships/person" Target="persons/person.xml"/><Relationship Id="rId4" Type="http://schemas.openxmlformats.org/officeDocument/2006/relationships/worksheet" Target="worksheets/sheet4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FINANCEIRO YCSA" id="{50CD0A62-B4C3-41F8-8585-53D61D6A3053}" userId="FINANCEIRO YCSA" providerId="None"/>
</personList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O12" dT="2019-07-04T19:18:29.39" personId="{50CD0A62-B4C3-41F8-8585-53D61D6A3053}" id="{C6BAA272-FF2E-4B04-BB70-261677DD8031}">
    <text>6979 eventos nauticos e 4821 uniformes</text>
  </threadedComment>
  <threadedComment ref="Q12" dT="2019-07-04T19:18:29.39" personId="{50CD0A62-B4C3-41F8-8585-53D61D6A3053}" id="{5A392C16-C73B-49E7-919D-3FAABDC6996E}">
    <text>6979 eventos nauticos e 4821 uniformes</text>
  </threadedComment>
  <threadedComment ref="AB17" dT="2019-10-24T22:05:42.42" personId="{50CD0A62-B4C3-41F8-8585-53D61D6A3053}" id="{CFB2DF8B-AF26-401A-A708-87DE12E7CC87}">
    <text>Definido valor fixo</text>
  </threadedComment>
  <threadedComment ref="K38" dT="2019-06-02T15:48:46.11" personId="{50CD0A62-B4C3-41F8-8585-53D61D6A3053}" id="{252CE61F-04A5-42DF-A37E-4FCE5F99E0E7}">
    <text>uniformes - receita</text>
  </threadedComment>
  <threadedComment ref="U62" dT="2019-10-04T14:51:46.39" personId="{50CD0A62-B4C3-41F8-8585-53D61D6A3053}" id="{8B811468-05FD-4D0B-A3A7-B1E4F9364D33}">
    <text>incluso acerto de maio la vieiras</text>
  </threadedComment>
  <threadedComment ref="M72" dT="2019-05-24T18:53:21.86" personId="{50CD0A62-B4C3-41F8-8585-53D61D6A3053}" id="{1EADD8A9-55A6-41B3-AA16-80B937BCE40F}">
    <text>Microsoft renovação</text>
  </threadedComment>
  <threadedComment ref="O89" dT="2019-07-04T20:21:07.61" personId="{50CD0A62-B4C3-41F8-8585-53D61D6A3053}" id="{83BC6E06-CEE6-47D7-AD2B-DA1D16ABEEE5}">
    <text>tapetes box vestiário feminino , colchonetes dia das maes</text>
  </threadedComment>
  <threadedComment ref="Q89" dT="2019-07-04T20:21:07.61" personId="{50CD0A62-B4C3-41F8-8585-53D61D6A3053}" id="{A5D1E868-4ABB-4DD9-8B21-3FDFB9AE55C0}">
    <text>tapetes box vestiário feminino , colchonetes dia das maes</text>
  </threadedComment>
  <threadedComment ref="K106" dT="2019-05-07T20:16:35.19" personId="{50CD0A62-B4C3-41F8-8585-53D61D6A3053}" id="{E474104C-7D80-4E94-8D77-98D89E1BEE75}">
    <text>carnaval e páscoa</text>
  </threadedComment>
  <threadedComment ref="M106" dT="2019-05-07T20:16:35.19" personId="{50CD0A62-B4C3-41F8-8585-53D61D6A3053}" id="{1242B1AC-C766-494E-9A6B-6028B678E7AC}">
    <text>carnaval e páscoa</text>
  </threadedComment>
  <threadedComment ref="S148" dT="2019-08-22T20:03:45.18" personId="{50CD0A62-B4C3-41F8-8585-53D61D6A3053}" id="{CAAE3E44-842D-4B68-ACE8-9E0DC31B918A}">
    <text>Valor negativo ref. telesmar que vamos reclassificar como investimento area nautica</text>
  </threadedComment>
</ThreadedComment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32"/>
  <sheetViews>
    <sheetView topLeftCell="B1" zoomScaleNormal="80" workbookViewId="0">
      <selection activeCell="G7" sqref="G7"/>
    </sheetView>
  </sheetViews>
  <sheetFormatPr defaultColWidth="8.85546875" defaultRowHeight="15" x14ac:dyDescent="0.25"/>
  <cols>
    <col min="1" max="1" width="14.28515625" customWidth="1"/>
    <col min="2" max="2" width="34.28515625" bestFit="1" customWidth="1"/>
    <col min="3" max="4" width="13.85546875" bestFit="1" customWidth="1"/>
    <col min="5" max="5" width="22.42578125" customWidth="1"/>
    <col min="6" max="7" width="13.85546875" bestFit="1" customWidth="1"/>
    <col min="8" max="8" width="15.42578125" customWidth="1"/>
    <col min="9" max="9" width="13.28515625" bestFit="1" customWidth="1"/>
    <col min="12" max="12" width="13.28515625" bestFit="1" customWidth="1"/>
    <col min="13" max="13" width="11.42578125" bestFit="1" customWidth="1"/>
  </cols>
  <sheetData>
    <row r="1" spans="2:13" ht="22.5" customHeight="1" thickBot="1" x14ac:dyDescent="0.3"/>
    <row r="2" spans="2:13" ht="15.75" thickBot="1" x14ac:dyDescent="0.3">
      <c r="B2" s="103" t="s">
        <v>0</v>
      </c>
      <c r="C2" s="102"/>
      <c r="D2" s="104"/>
      <c r="E2" s="102" t="s">
        <v>126</v>
      </c>
      <c r="F2" s="102"/>
      <c r="G2" s="102"/>
      <c r="H2" s="29" t="s">
        <v>166</v>
      </c>
    </row>
    <row r="3" spans="2:13" x14ac:dyDescent="0.25">
      <c r="B3" s="33"/>
      <c r="C3" s="4"/>
      <c r="D3" s="34"/>
      <c r="E3" s="4"/>
      <c r="F3" s="4"/>
      <c r="G3" s="4"/>
      <c r="H3" s="20"/>
    </row>
    <row r="4" spans="2:13" x14ac:dyDescent="0.25">
      <c r="B4" s="35" t="s">
        <v>1</v>
      </c>
      <c r="C4" s="7">
        <f>SUM(C6:C18)+0.3</f>
        <v>4400565.4633719996</v>
      </c>
      <c r="D4" s="36"/>
      <c r="E4" s="26" t="s">
        <v>163</v>
      </c>
      <c r="F4" s="6">
        <f>SUM(F6:F16)</f>
        <v>4457853.9266666668</v>
      </c>
      <c r="G4" s="4"/>
      <c r="H4" s="21">
        <f>C4-F4</f>
        <v>-57288.463294667192</v>
      </c>
      <c r="I4" s="2">
        <f>F4-Budget!D51</f>
        <v>0</v>
      </c>
      <c r="L4" s="2"/>
      <c r="M4" s="2"/>
    </row>
    <row r="5" spans="2:13" x14ac:dyDescent="0.25">
      <c r="B5" s="35"/>
      <c r="C5" s="7"/>
      <c r="D5" s="34"/>
      <c r="E5" s="26"/>
      <c r="F5" s="4"/>
      <c r="G5" s="4"/>
      <c r="H5" s="21"/>
      <c r="L5" s="2"/>
      <c r="M5" s="2"/>
    </row>
    <row r="6" spans="2:13" x14ac:dyDescent="0.25">
      <c r="B6" s="35" t="s">
        <v>2</v>
      </c>
      <c r="C6" s="7">
        <f>D7+D8</f>
        <v>3349565.1633719997</v>
      </c>
      <c r="D6" s="36"/>
      <c r="E6" s="26" t="s">
        <v>132</v>
      </c>
      <c r="F6" s="6">
        <f>SUM(G7:G11)</f>
        <v>3045993.9266666668</v>
      </c>
      <c r="G6" s="4"/>
      <c r="H6" s="21">
        <f t="shared" ref="H6:H16" si="0">C6-F6</f>
        <v>303571.23670533299</v>
      </c>
      <c r="I6" s="2"/>
    </row>
    <row r="7" spans="2:13" x14ac:dyDescent="0.25">
      <c r="B7" s="37" t="s">
        <v>158</v>
      </c>
      <c r="C7" s="7"/>
      <c r="D7" s="38">
        <f>Budget!D11</f>
        <v>2287141.7349719997</v>
      </c>
      <c r="E7" s="30" t="s">
        <v>127</v>
      </c>
      <c r="F7" s="4"/>
      <c r="G7" s="7">
        <f>Budget!D54</f>
        <v>1676880</v>
      </c>
      <c r="H7" s="21"/>
      <c r="I7" s="1"/>
    </row>
    <row r="8" spans="2:13" x14ac:dyDescent="0.25">
      <c r="B8" s="37" t="s">
        <v>162</v>
      </c>
      <c r="C8" s="7"/>
      <c r="D8" s="38">
        <f>Budget!D16</f>
        <v>1062423.4284000001</v>
      </c>
      <c r="E8" s="30" t="s">
        <v>128</v>
      </c>
      <c r="F8" s="4"/>
      <c r="G8" s="7">
        <f>Budget!D67+Budget!D69+Budget!D77+Budget!D84+Budget!D153</f>
        <v>975655.28666666662</v>
      </c>
      <c r="H8" s="21"/>
    </row>
    <row r="9" spans="2:13" x14ac:dyDescent="0.25">
      <c r="B9" s="35"/>
      <c r="C9" s="7"/>
      <c r="D9" s="36"/>
      <c r="E9" s="31" t="s">
        <v>129</v>
      </c>
      <c r="F9" s="4"/>
      <c r="G9" s="7">
        <f>Budget!D157</f>
        <v>276000</v>
      </c>
      <c r="H9" s="21"/>
    </row>
    <row r="10" spans="2:13" x14ac:dyDescent="0.25">
      <c r="B10" s="42">
        <f>D7+SUM(Budget!B17:B20)</f>
        <v>3168920.7359719998</v>
      </c>
      <c r="C10" s="7"/>
      <c r="D10" s="36"/>
      <c r="E10" s="31" t="s">
        <v>130</v>
      </c>
      <c r="F10" s="4"/>
      <c r="G10" s="7">
        <f>Budget!D163</f>
        <v>35738.639999999999</v>
      </c>
      <c r="H10" s="21"/>
    </row>
    <row r="11" spans="2:13" x14ac:dyDescent="0.25">
      <c r="B11" s="35"/>
      <c r="C11" s="7"/>
      <c r="D11" s="36"/>
      <c r="E11" s="31" t="s">
        <v>131</v>
      </c>
      <c r="F11" s="4"/>
      <c r="G11" s="7">
        <f>Budget!D109</f>
        <v>81720</v>
      </c>
      <c r="H11" s="21"/>
    </row>
    <row r="12" spans="2:13" x14ac:dyDescent="0.25">
      <c r="B12" s="35"/>
      <c r="C12" s="4"/>
      <c r="D12" s="34"/>
      <c r="E12" s="32"/>
      <c r="H12" s="20"/>
    </row>
    <row r="13" spans="2:13" x14ac:dyDescent="0.25">
      <c r="B13" s="35" t="s">
        <v>133</v>
      </c>
      <c r="C13" s="7">
        <f>Budget!D25</f>
        <v>650000</v>
      </c>
      <c r="D13" s="36"/>
      <c r="E13" s="25"/>
      <c r="F13" s="7">
        <f>Budget!D115</f>
        <v>650000</v>
      </c>
      <c r="G13" s="4"/>
      <c r="H13" s="21">
        <f t="shared" si="0"/>
        <v>0</v>
      </c>
      <c r="I13" s="2"/>
    </row>
    <row r="14" spans="2:13" x14ac:dyDescent="0.25">
      <c r="B14" s="35" t="s">
        <v>134</v>
      </c>
      <c r="C14" s="7">
        <f>Budget!D38</f>
        <v>251000</v>
      </c>
      <c r="D14" s="36"/>
      <c r="E14" s="25"/>
      <c r="F14" s="7">
        <f>Budget!D134</f>
        <v>631860</v>
      </c>
      <c r="G14" s="4"/>
      <c r="H14" s="21">
        <f t="shared" si="0"/>
        <v>-380860</v>
      </c>
      <c r="I14" s="2"/>
    </row>
    <row r="15" spans="2:13" x14ac:dyDescent="0.25">
      <c r="B15" s="35" t="s">
        <v>191</v>
      </c>
      <c r="C15" s="7">
        <f>Budget!D45</f>
        <v>80000</v>
      </c>
      <c r="D15" s="36"/>
      <c r="E15" s="25"/>
      <c r="F15" s="7">
        <f>Budget!D94</f>
        <v>130000</v>
      </c>
      <c r="G15" s="4"/>
      <c r="H15" s="21">
        <f t="shared" si="0"/>
        <v>-50000</v>
      </c>
      <c r="I15" s="2"/>
    </row>
    <row r="16" spans="2:13" x14ac:dyDescent="0.25">
      <c r="B16" s="39"/>
      <c r="C16" s="7"/>
      <c r="D16" s="36"/>
      <c r="E16" s="25"/>
      <c r="F16" s="7"/>
      <c r="G16" s="4"/>
      <c r="H16" s="21">
        <f t="shared" si="0"/>
        <v>0</v>
      </c>
      <c r="I16" s="2"/>
    </row>
    <row r="17" spans="2:9" x14ac:dyDescent="0.25">
      <c r="B17" s="39"/>
      <c r="C17" s="7"/>
      <c r="D17" s="36"/>
      <c r="E17" s="5"/>
      <c r="F17" s="7"/>
      <c r="G17" s="4"/>
      <c r="H17" s="21"/>
      <c r="I17" s="2"/>
    </row>
    <row r="18" spans="2:9" x14ac:dyDescent="0.25">
      <c r="B18" s="35" t="s">
        <v>124</v>
      </c>
      <c r="C18" s="7">
        <f>Budget!D30</f>
        <v>70000</v>
      </c>
      <c r="D18" s="36"/>
      <c r="E18" s="4"/>
      <c r="F18" s="4"/>
      <c r="G18" s="7"/>
      <c r="H18" s="21">
        <f>C18-F11</f>
        <v>70000</v>
      </c>
    </row>
    <row r="19" spans="2:9" ht="15.75" thickBot="1" x14ac:dyDescent="0.3">
      <c r="B19" s="40"/>
      <c r="C19" s="8"/>
      <c r="D19" s="41"/>
      <c r="E19" s="8"/>
      <c r="F19" s="8"/>
      <c r="G19" s="8"/>
      <c r="H19" s="22"/>
    </row>
    <row r="20" spans="2:9" x14ac:dyDescent="0.25">
      <c r="C20" s="19"/>
    </row>
    <row r="21" spans="2:9" x14ac:dyDescent="0.25">
      <c r="B21" s="4" t="s">
        <v>171</v>
      </c>
      <c r="C21" s="48">
        <v>0.115</v>
      </c>
    </row>
    <row r="22" spans="2:9" x14ac:dyDescent="0.25">
      <c r="B22" t="s">
        <v>194</v>
      </c>
      <c r="C22" s="19">
        <f>H4</f>
        <v>-57288.463294667192</v>
      </c>
    </row>
    <row r="23" spans="2:9" x14ac:dyDescent="0.25">
      <c r="B23" s="4" t="s">
        <v>199</v>
      </c>
      <c r="C23" s="7">
        <v>900000</v>
      </c>
      <c r="D23" s="4"/>
      <c r="E23" s="4"/>
      <c r="F23" s="4"/>
      <c r="G23" s="4"/>
    </row>
    <row r="24" spans="2:9" ht="15.75" thickBot="1" x14ac:dyDescent="0.3">
      <c r="B24" s="4" t="s">
        <v>19</v>
      </c>
      <c r="C24" s="23">
        <f>Budget!D32</f>
        <v>425559.56</v>
      </c>
      <c r="D24" s="43" t="s">
        <v>192</v>
      </c>
      <c r="E24" s="4"/>
    </row>
    <row r="25" spans="2:9" ht="15.75" thickTop="1" x14ac:dyDescent="0.25">
      <c r="B25" s="24" t="s">
        <v>193</v>
      </c>
      <c r="C25" s="7">
        <f>SUM(C22:C24)</f>
        <v>1268271.0967053329</v>
      </c>
      <c r="D25" s="43"/>
      <c r="E25" s="4"/>
      <c r="F25" s="28"/>
      <c r="G25" s="28"/>
      <c r="H25" s="10"/>
    </row>
    <row r="26" spans="2:9" x14ac:dyDescent="0.25">
      <c r="B26" s="4"/>
      <c r="C26" s="7"/>
      <c r="D26" s="43"/>
      <c r="E26" s="4"/>
      <c r="F26" s="28">
        <v>2022</v>
      </c>
      <c r="G26" s="28">
        <v>2023</v>
      </c>
      <c r="H26" s="10">
        <v>2024</v>
      </c>
    </row>
    <row r="27" spans="2:9" ht="15.75" thickBot="1" x14ac:dyDescent="0.3">
      <c r="B27" s="24" t="s">
        <v>190</v>
      </c>
      <c r="C27" s="23">
        <v>600000</v>
      </c>
      <c r="D27" s="4"/>
      <c r="E27" s="4"/>
      <c r="F27" s="28"/>
      <c r="G27" s="28"/>
      <c r="H27" s="10"/>
    </row>
    <row r="28" spans="2:9" ht="15.75" thickTop="1" x14ac:dyDescent="0.25">
      <c r="B28" s="24" t="s">
        <v>195</v>
      </c>
      <c r="C28" s="46">
        <f>C25-C27</f>
        <v>668271.09670533286</v>
      </c>
      <c r="D28" s="4"/>
      <c r="E28" s="4" t="s">
        <v>164</v>
      </c>
      <c r="F28" s="46">
        <v>767500</v>
      </c>
      <c r="G28" s="46">
        <v>630000</v>
      </c>
      <c r="H28" s="47">
        <v>273000</v>
      </c>
    </row>
    <row r="29" spans="2:9" x14ac:dyDescent="0.25">
      <c r="B29" s="4"/>
      <c r="C29" s="4"/>
      <c r="D29" s="4"/>
      <c r="E29" s="4"/>
      <c r="F29" s="4"/>
      <c r="G29" s="4"/>
    </row>
    <row r="32" spans="2:9" x14ac:dyDescent="0.25">
      <c r="D32" s="43"/>
      <c r="E32" s="43"/>
      <c r="F32" s="45"/>
      <c r="G32" s="43"/>
      <c r="H32" s="43"/>
    </row>
  </sheetData>
  <mergeCells count="2">
    <mergeCell ref="E2:G2"/>
    <mergeCell ref="B2:D2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Y168"/>
  <sheetViews>
    <sheetView tabSelected="1" topLeftCell="A2" zoomScale="128" zoomScaleNormal="128" workbookViewId="0">
      <pane xSplit="2" ySplit="4" topLeftCell="R130" activePane="bottomRight" state="frozen"/>
      <selection activeCell="A2" sqref="A2"/>
      <selection pane="topRight" activeCell="BG2" sqref="BG2"/>
      <selection pane="bottomLeft" activeCell="A6" sqref="A6"/>
      <selection pane="bottomRight" activeCell="T139" sqref="T139"/>
    </sheetView>
  </sheetViews>
  <sheetFormatPr defaultColWidth="8.85546875" defaultRowHeight="15" x14ac:dyDescent="0.25"/>
  <cols>
    <col min="1" max="1" width="53.7109375" customWidth="1"/>
    <col min="2" max="2" width="18.42578125" style="13" hidden="1" customWidth="1"/>
    <col min="3" max="3" width="17.7109375" bestFit="1" customWidth="1"/>
    <col min="4" max="4" width="19.85546875" bestFit="1" customWidth="1"/>
    <col min="5" max="5" width="15.140625" style="43" hidden="1" customWidth="1"/>
    <col min="6" max="11" width="17" style="43" hidden="1" customWidth="1"/>
    <col min="12" max="12" width="17" style="43" customWidth="1"/>
    <col min="13" max="13" width="10.140625" style="43" bestFit="1" customWidth="1"/>
    <col min="14" max="14" width="17" style="43" customWidth="1"/>
    <col min="15" max="15" width="12.7109375" style="43" bestFit="1" customWidth="1"/>
    <col min="16" max="16" width="17" style="43" customWidth="1"/>
    <col min="17" max="17" width="12.7109375" style="43" bestFit="1" customWidth="1"/>
    <col min="18" max="18" width="17" style="43" customWidth="1"/>
    <col min="19" max="19" width="12.7109375" style="43" bestFit="1" customWidth="1"/>
    <col min="20" max="20" width="17" style="43" customWidth="1"/>
    <col min="21" max="21" width="12.7109375" style="43" bestFit="1" customWidth="1"/>
    <col min="22" max="22" width="17" style="43" hidden="1" customWidth="1"/>
    <col min="23" max="23" width="7.85546875" style="43" hidden="1" customWidth="1"/>
    <col min="24" max="24" width="17" style="43" bestFit="1" customWidth="1"/>
  </cols>
  <sheetData>
    <row r="1" spans="1:25" ht="26.25" customHeight="1" x14ac:dyDescent="0.25"/>
    <row r="2" spans="1:25" ht="89.25" customHeight="1" x14ac:dyDescent="0.25">
      <c r="A2" s="64"/>
      <c r="B2" s="65" t="s">
        <v>172</v>
      </c>
      <c r="C2" s="66" t="s">
        <v>176</v>
      </c>
      <c r="D2" s="65" t="s">
        <v>202</v>
      </c>
      <c r="E2" s="67" t="s">
        <v>177</v>
      </c>
      <c r="F2" s="65">
        <v>44562</v>
      </c>
      <c r="G2" s="65">
        <v>44593</v>
      </c>
      <c r="H2" s="65">
        <v>44621</v>
      </c>
      <c r="I2" s="65">
        <v>44652</v>
      </c>
      <c r="J2" s="65">
        <v>44682</v>
      </c>
      <c r="K2" s="65">
        <v>44713</v>
      </c>
      <c r="L2" s="65">
        <v>44743</v>
      </c>
      <c r="M2" s="65" t="s">
        <v>201</v>
      </c>
      <c r="N2" s="65">
        <v>44774</v>
      </c>
      <c r="O2" s="65" t="s">
        <v>201</v>
      </c>
      <c r="P2" s="65">
        <v>44805</v>
      </c>
      <c r="Q2" s="65" t="s">
        <v>201</v>
      </c>
      <c r="R2" s="65">
        <v>44835</v>
      </c>
      <c r="S2" s="65" t="s">
        <v>201</v>
      </c>
      <c r="T2" s="65">
        <v>44866</v>
      </c>
      <c r="U2" s="65" t="s">
        <v>201</v>
      </c>
      <c r="V2" s="65">
        <v>44896</v>
      </c>
      <c r="W2" s="65" t="s">
        <v>201</v>
      </c>
      <c r="X2" s="65" t="s">
        <v>200</v>
      </c>
      <c r="Y2" s="65" t="s">
        <v>201</v>
      </c>
    </row>
    <row r="3" spans="1:25" hidden="1" x14ac:dyDescent="0.25">
      <c r="A3" s="18"/>
      <c r="B3" s="18"/>
      <c r="C3" s="18"/>
      <c r="D3" s="18"/>
      <c r="E3" s="44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5" hidden="1" x14ac:dyDescent="0.25">
      <c r="A4" s="18"/>
      <c r="B4" s="18"/>
      <c r="C4" s="18"/>
      <c r="D4" s="18"/>
      <c r="E4" s="44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</row>
    <row r="5" spans="1:25" hidden="1" x14ac:dyDescent="0.25">
      <c r="A5" s="68"/>
      <c r="B5" s="18"/>
      <c r="C5" s="18"/>
      <c r="D5" s="18"/>
      <c r="E5" s="44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</row>
    <row r="6" spans="1:25" x14ac:dyDescent="0.25">
      <c r="A6" s="69" t="s">
        <v>0</v>
      </c>
      <c r="B6" s="70">
        <v>4233645.4296800001</v>
      </c>
      <c r="C6" s="56">
        <v>402171.60488333338</v>
      </c>
      <c r="D6" s="56">
        <f>D8+D32</f>
        <v>4826124.7233719993</v>
      </c>
      <c r="E6" s="49">
        <f>IFERROR((D6/B6)-1,0)</f>
        <v>0.13994542139462585</v>
      </c>
      <c r="F6" s="56">
        <f>F8+F32</f>
        <v>329386.28080000001</v>
      </c>
      <c r="G6" s="56">
        <f t="shared" ref="G6:X6" si="0">G8+G32</f>
        <v>437075.11499999993</v>
      </c>
      <c r="H6" s="56">
        <f t="shared" si="0"/>
        <v>401672.82839999994</v>
      </c>
      <c r="I6" s="56">
        <f t="shared" si="0"/>
        <v>494155.44840000005</v>
      </c>
      <c r="J6" s="56">
        <f t="shared" si="0"/>
        <v>464165.13779999997</v>
      </c>
      <c r="K6" s="56">
        <f t="shared" si="0"/>
        <v>512464.19680000003</v>
      </c>
      <c r="L6" s="56">
        <f t="shared" si="0"/>
        <v>446052.245</v>
      </c>
      <c r="M6" s="95">
        <f>L6/C6</f>
        <v>1.1091092448692295</v>
      </c>
      <c r="N6" s="56">
        <f t="shared" si="0"/>
        <v>464897.10980000003</v>
      </c>
      <c r="O6" s="95">
        <f>N6/$C6</f>
        <v>1.1559670154606336</v>
      </c>
      <c r="P6" s="56">
        <f t="shared" si="0"/>
        <v>475523.37539999996</v>
      </c>
      <c r="Q6" s="95">
        <f>P6/$C6</f>
        <v>1.1823892329194781</v>
      </c>
      <c r="R6" s="56">
        <f t="shared" si="0"/>
        <v>382128.69879999995</v>
      </c>
      <c r="S6" s="95">
        <f>R6/$C6</f>
        <v>0.95016329885062945</v>
      </c>
      <c r="T6" s="56">
        <f t="shared" si="0"/>
        <v>409360.7758</v>
      </c>
      <c r="U6" s="95">
        <f>T6/$C6</f>
        <v>1.0178758789267386</v>
      </c>
      <c r="V6" s="56">
        <f t="shared" si="0"/>
        <v>0</v>
      </c>
      <c r="W6" s="95">
        <f>V6/I6</f>
        <v>0</v>
      </c>
      <c r="X6" s="56">
        <f t="shared" si="0"/>
        <v>4816881.2120000003</v>
      </c>
      <c r="Y6" s="95">
        <f>X6/D6</f>
        <v>0.99808469281217815</v>
      </c>
    </row>
    <row r="7" spans="1:25" x14ac:dyDescent="0.25">
      <c r="A7" s="60"/>
      <c r="B7" s="71"/>
      <c r="C7" s="55"/>
      <c r="D7" s="55"/>
      <c r="E7" s="61"/>
      <c r="F7" s="55"/>
      <c r="G7" s="55"/>
      <c r="H7" s="55"/>
      <c r="I7" s="55"/>
      <c r="J7" s="55"/>
      <c r="K7" s="55"/>
      <c r="L7" s="55"/>
      <c r="M7" s="96"/>
      <c r="N7" s="55"/>
      <c r="O7" s="96"/>
      <c r="P7" s="55"/>
      <c r="Q7" s="96"/>
      <c r="R7" s="55"/>
      <c r="S7" s="96"/>
      <c r="T7" s="55"/>
      <c r="U7" s="96"/>
      <c r="V7" s="55"/>
      <c r="W7" s="96"/>
      <c r="X7" s="55"/>
      <c r="Y7" s="96"/>
    </row>
    <row r="8" spans="1:25" x14ac:dyDescent="0.25">
      <c r="A8" s="69" t="s">
        <v>1</v>
      </c>
      <c r="B8" s="70">
        <v>4081894.4296800001</v>
      </c>
      <c r="C8" s="56">
        <v>366708.30821666669</v>
      </c>
      <c r="D8" s="56">
        <f>D10+D25+D30+D38+D45</f>
        <v>4400565.1633719997</v>
      </c>
      <c r="E8" s="51">
        <f>IFERROR((D8/B8)-1,0)</f>
        <v>7.8069322757321258E-2</v>
      </c>
      <c r="F8" s="56">
        <f>F10+F25+F30+F38+F45</f>
        <v>307466.47080000001</v>
      </c>
      <c r="G8" s="56">
        <f t="shared" ref="G8:X8" si="1">G10+G25+G30+G38+G45</f>
        <v>402491.30499999993</v>
      </c>
      <c r="H8" s="56">
        <f t="shared" si="1"/>
        <v>377900.01839999994</v>
      </c>
      <c r="I8" s="56">
        <f t="shared" si="1"/>
        <v>460827.63840000005</v>
      </c>
      <c r="J8" s="56">
        <f t="shared" si="1"/>
        <v>397044.32779999997</v>
      </c>
      <c r="K8" s="56">
        <f t="shared" si="1"/>
        <v>485906.38680000004</v>
      </c>
      <c r="L8" s="56">
        <f t="shared" si="1"/>
        <v>362160.435</v>
      </c>
      <c r="M8" s="95">
        <f>L8/C8</f>
        <v>0.98759811786435003</v>
      </c>
      <c r="N8" s="56">
        <f t="shared" si="1"/>
        <v>403154.30980000005</v>
      </c>
      <c r="O8" s="95">
        <f>N8/C8</f>
        <v>1.0993868989785733</v>
      </c>
      <c r="P8" s="56">
        <f t="shared" si="1"/>
        <v>413883.56539999996</v>
      </c>
      <c r="Q8" s="95">
        <f>P8/$C8</f>
        <v>1.1286451823596539</v>
      </c>
      <c r="R8" s="56">
        <f t="shared" si="1"/>
        <v>381394.88879999996</v>
      </c>
      <c r="S8" s="95">
        <f>R8/$C8</f>
        <v>1.0400497623158727</v>
      </c>
      <c r="T8" s="56">
        <f t="shared" si="1"/>
        <v>374147.96580000001</v>
      </c>
      <c r="U8" s="95">
        <f>T8/$C8</f>
        <v>1.0202876711997964</v>
      </c>
      <c r="V8" s="56">
        <f t="shared" si="1"/>
        <v>0</v>
      </c>
      <c r="W8" s="95">
        <f>V8/I8</f>
        <v>0</v>
      </c>
      <c r="X8" s="56">
        <f t="shared" si="1"/>
        <v>4366377.3119999999</v>
      </c>
      <c r="Y8" s="95">
        <f>X8/D8</f>
        <v>0.99223103167371285</v>
      </c>
    </row>
    <row r="9" spans="1:25" x14ac:dyDescent="0.25">
      <c r="A9" s="60"/>
      <c r="B9" s="71"/>
      <c r="C9" s="55"/>
      <c r="D9" s="55"/>
      <c r="E9" s="61"/>
      <c r="F9" s="55"/>
      <c r="G9" s="55"/>
      <c r="H9" s="55"/>
      <c r="I9" s="55"/>
      <c r="J9" s="55"/>
      <c r="K9" s="55"/>
      <c r="L9" s="55"/>
      <c r="M9" s="96"/>
      <c r="N9" s="55"/>
      <c r="O9" s="96"/>
      <c r="P9" s="55"/>
      <c r="Q9" s="96"/>
      <c r="R9" s="55"/>
      <c r="S9" s="96"/>
      <c r="T9" s="55"/>
      <c r="U9" s="96"/>
      <c r="V9" s="55"/>
      <c r="W9" s="96"/>
      <c r="X9" s="55"/>
      <c r="Y9" s="96"/>
    </row>
    <row r="10" spans="1:25" x14ac:dyDescent="0.25">
      <c r="A10" s="69" t="s">
        <v>158</v>
      </c>
      <c r="B10" s="70">
        <v>3127463.6996800001</v>
      </c>
      <c r="C10" s="56">
        <v>279124.97488333331</v>
      </c>
      <c r="D10" s="56">
        <f>D11+D16</f>
        <v>3349565.1633719997</v>
      </c>
      <c r="E10" s="49">
        <f>IFERROR((D10/B10)-1,0)</f>
        <v>7.101648013203965E-2</v>
      </c>
      <c r="F10" s="56">
        <f>F11+F16</f>
        <v>274317.19080000004</v>
      </c>
      <c r="G10" s="56">
        <f t="shared" ref="G10:X10" si="2">G11+G16</f>
        <v>269393.20499999996</v>
      </c>
      <c r="H10" s="56">
        <f t="shared" si="2"/>
        <v>271736.99839999998</v>
      </c>
      <c r="I10" s="56">
        <f t="shared" si="2"/>
        <v>313554.5184</v>
      </c>
      <c r="J10" s="56">
        <f t="shared" si="2"/>
        <v>271976.2978</v>
      </c>
      <c r="K10" s="56">
        <f t="shared" si="2"/>
        <v>269252.9068</v>
      </c>
      <c r="L10" s="56">
        <f t="shared" si="2"/>
        <v>267457.625</v>
      </c>
      <c r="M10" s="95">
        <f t="shared" ref="M10:M71" si="3">L10/C10</f>
        <v>0.95820026535350356</v>
      </c>
      <c r="N10" s="56">
        <f t="shared" si="2"/>
        <v>300817.26980000001</v>
      </c>
      <c r="O10" s="95">
        <f>N10/C10</f>
        <v>1.0777153492829994</v>
      </c>
      <c r="P10" s="56">
        <f t="shared" si="2"/>
        <v>290709.13539999997</v>
      </c>
      <c r="Q10" s="95">
        <f t="shared" ref="Q10:U74" si="4">P10/$C10</f>
        <v>1.0415016983754626</v>
      </c>
      <c r="R10" s="56">
        <f t="shared" si="2"/>
        <v>286956.72879999998</v>
      </c>
      <c r="S10" s="95">
        <f t="shared" si="4"/>
        <v>1.0280582342011499</v>
      </c>
      <c r="T10" s="56">
        <f t="shared" si="2"/>
        <v>279315.87580000004</v>
      </c>
      <c r="U10" s="95">
        <f t="shared" si="4"/>
        <v>1.0006839263191927</v>
      </c>
      <c r="V10" s="56">
        <f t="shared" si="2"/>
        <v>0</v>
      </c>
      <c r="W10" s="95">
        <f>V10/C10</f>
        <v>0</v>
      </c>
      <c r="X10" s="56">
        <f t="shared" si="2"/>
        <v>3095487.7519999994</v>
      </c>
      <c r="Y10" s="95">
        <f t="shared" ref="Y10:Y35" si="5">X10/D10</f>
        <v>0.92414615062564687</v>
      </c>
    </row>
    <row r="11" spans="1:25" x14ac:dyDescent="0.25">
      <c r="A11" s="69" t="s">
        <v>2</v>
      </c>
      <c r="B11" s="70">
        <v>2149282.9486799999</v>
      </c>
      <c r="C11" s="56">
        <v>190589.68918333334</v>
      </c>
      <c r="D11" s="56">
        <f>SUM(D12:D15)</f>
        <v>2287141.7349719997</v>
      </c>
      <c r="E11" s="49">
        <f>IFERROR((D11/B11)-1,0)</f>
        <v>6.4141757778642727E-2</v>
      </c>
      <c r="F11" s="56">
        <f>SUM(F12:F15)</f>
        <v>192839.42080000002</v>
      </c>
      <c r="G11" s="56">
        <f t="shared" ref="G11:X11" si="6">SUM(G12:G15)</f>
        <v>190435.30499999999</v>
      </c>
      <c r="H11" s="56">
        <f t="shared" si="6"/>
        <v>191291.74839999998</v>
      </c>
      <c r="I11" s="56">
        <f t="shared" si="6"/>
        <v>192126.46840000001</v>
      </c>
      <c r="J11" s="56">
        <f t="shared" si="6"/>
        <v>189879.40780000002</v>
      </c>
      <c r="K11" s="56">
        <f t="shared" si="6"/>
        <v>190271.71680000002</v>
      </c>
      <c r="L11" s="56">
        <f t="shared" si="6"/>
        <v>190193.255</v>
      </c>
      <c r="M11" s="95">
        <f t="shared" si="3"/>
        <v>0.99791995996723626</v>
      </c>
      <c r="N11" s="56">
        <f t="shared" si="6"/>
        <v>195101.3898</v>
      </c>
      <c r="O11" s="95">
        <f t="shared" ref="O11:O75" si="7">N11/C11</f>
        <v>1.0236723226529152</v>
      </c>
      <c r="P11" s="56">
        <f t="shared" si="6"/>
        <v>195390.1954</v>
      </c>
      <c r="Q11" s="95">
        <f t="shared" si="4"/>
        <v>1.0251876491180429</v>
      </c>
      <c r="R11" s="56">
        <f t="shared" si="6"/>
        <v>195757.3688</v>
      </c>
      <c r="S11" s="95">
        <f t="shared" si="4"/>
        <v>1.0271141615205412</v>
      </c>
      <c r="T11" s="56">
        <f t="shared" si="6"/>
        <v>192333.46580000001</v>
      </c>
      <c r="U11" s="95">
        <f t="shared" si="4"/>
        <v>1.0091493754155256</v>
      </c>
      <c r="V11" s="56">
        <f t="shared" si="6"/>
        <v>0</v>
      </c>
      <c r="W11" s="95">
        <f t="shared" ref="W11:W35" si="8">V11/I11</f>
        <v>0</v>
      </c>
      <c r="X11" s="56">
        <f t="shared" si="6"/>
        <v>2115619.7419999996</v>
      </c>
      <c r="Y11" s="95">
        <f t="shared" si="5"/>
        <v>0.92500596252986489</v>
      </c>
    </row>
    <row r="12" spans="1:25" x14ac:dyDescent="0.25">
      <c r="A12" s="72" t="s">
        <v>3</v>
      </c>
      <c r="B12" s="62">
        <v>2211010.3259999999</v>
      </c>
      <c r="C12" s="54">
        <f>D12/12</f>
        <v>195656.86614999999</v>
      </c>
      <c r="D12" s="54">
        <f>Mensalidades!E12</f>
        <v>2347882.3937999997</v>
      </c>
      <c r="E12" s="49">
        <f>(D12/B12)-1</f>
        <v>6.1904761904761907E-2</v>
      </c>
      <c r="F12" s="54">
        <v>199820.32</v>
      </c>
      <c r="G12" s="54">
        <v>198150.75</v>
      </c>
      <c r="H12" s="54">
        <v>196397.86</v>
      </c>
      <c r="I12" s="54">
        <v>196397.86</v>
      </c>
      <c r="J12" s="54">
        <v>194895.37</v>
      </c>
      <c r="K12" s="54">
        <v>195312.72</v>
      </c>
      <c r="L12" s="54">
        <v>195229.25</v>
      </c>
      <c r="M12" s="97">
        <f t="shared" si="3"/>
        <v>0.99781445875928443</v>
      </c>
      <c r="N12" s="54">
        <v>196898.67</v>
      </c>
      <c r="O12" s="97">
        <f t="shared" si="7"/>
        <v>1.0063468452420576</v>
      </c>
      <c r="P12" s="54">
        <v>197649.91</v>
      </c>
      <c r="Q12" s="97">
        <f t="shared" si="4"/>
        <v>1.010186424270294</v>
      </c>
      <c r="R12" s="54">
        <v>198484.52</v>
      </c>
      <c r="S12" s="97">
        <f t="shared" si="4"/>
        <v>1.0144521064128267</v>
      </c>
      <c r="T12" s="54">
        <f>196564.78-834.71</f>
        <v>195730.07</v>
      </c>
      <c r="U12" s="97">
        <f t="shared" si="4"/>
        <v>1.0003741440381853</v>
      </c>
      <c r="V12" s="54"/>
      <c r="W12" s="97">
        <f t="shared" si="8"/>
        <v>0</v>
      </c>
      <c r="X12" s="54">
        <f>V12+T12+R12+P12+N12+L12+K12+J12+I12+H12+G12+F12</f>
        <v>2164967.2999999998</v>
      </c>
      <c r="Y12" s="97">
        <f t="shared" si="5"/>
        <v>0.92209358770140293</v>
      </c>
    </row>
    <row r="13" spans="1:25" x14ac:dyDescent="0.25">
      <c r="A13" s="72" t="s">
        <v>4</v>
      </c>
      <c r="B13" s="62">
        <v>75460.896000000008</v>
      </c>
      <c r="C13" s="54">
        <v>6124.0891833333326</v>
      </c>
      <c r="D13" s="54">
        <f>Mensalidades!E14</f>
        <v>80132.284800000009</v>
      </c>
      <c r="E13" s="49">
        <f>IFERROR((D13/B13)-1,0)</f>
        <v>6.1904761904761907E-2</v>
      </c>
      <c r="F13" s="54">
        <v>5008.32</v>
      </c>
      <c r="G13" s="54">
        <v>4173.6000000000004</v>
      </c>
      <c r="H13" s="54">
        <v>6677.76</v>
      </c>
      <c r="I13" s="54">
        <v>7512.48</v>
      </c>
      <c r="J13" s="54">
        <v>6677.76</v>
      </c>
      <c r="K13" s="54">
        <v>6677.76</v>
      </c>
      <c r="L13" s="54">
        <v>6677.76</v>
      </c>
      <c r="M13" s="97">
        <f t="shared" si="3"/>
        <v>1.0904086795753203</v>
      </c>
      <c r="N13" s="54">
        <v>10016.64</v>
      </c>
      <c r="O13" s="97">
        <f t="shared" si="7"/>
        <v>1.6356130193629801</v>
      </c>
      <c r="P13" s="54">
        <v>9599.2800000000007</v>
      </c>
      <c r="Q13" s="97">
        <f t="shared" si="4"/>
        <v>1.5674624768895229</v>
      </c>
      <c r="R13" s="54">
        <v>9181.92</v>
      </c>
      <c r="S13" s="97">
        <f t="shared" si="4"/>
        <v>1.4993119344160653</v>
      </c>
      <c r="T13" s="54">
        <v>8347.2000000000007</v>
      </c>
      <c r="U13" s="97">
        <f t="shared" si="4"/>
        <v>1.3630108494691504</v>
      </c>
      <c r="V13" s="54"/>
      <c r="W13" s="97">
        <f t="shared" si="8"/>
        <v>0</v>
      </c>
      <c r="X13" s="54">
        <f>V13+T13+R13+P13+N13+L13+K13+J13+I13+H13+G13+F13</f>
        <v>80550.48000000001</v>
      </c>
      <c r="Y13" s="97">
        <f t="shared" si="5"/>
        <v>1.0052188103839017</v>
      </c>
    </row>
    <row r="14" spans="1:25" hidden="1" x14ac:dyDescent="0.25">
      <c r="A14" s="52" t="s">
        <v>22</v>
      </c>
      <c r="B14" s="62">
        <v>0</v>
      </c>
      <c r="C14" s="54"/>
      <c r="D14" s="54"/>
      <c r="E14" s="49"/>
      <c r="F14" s="54"/>
      <c r="G14" s="54"/>
      <c r="H14" s="54"/>
      <c r="I14" s="54"/>
      <c r="J14" s="54"/>
      <c r="K14" s="54"/>
      <c r="L14" s="54"/>
      <c r="M14" s="97" t="e">
        <f t="shared" si="3"/>
        <v>#DIV/0!</v>
      </c>
      <c r="N14" s="54"/>
      <c r="O14" s="97" t="e">
        <f t="shared" si="7"/>
        <v>#DIV/0!</v>
      </c>
      <c r="P14" s="54"/>
      <c r="Q14" s="97" t="e">
        <f t="shared" si="4"/>
        <v>#DIV/0!</v>
      </c>
      <c r="R14" s="54"/>
      <c r="S14" s="97" t="e">
        <f t="shared" si="4"/>
        <v>#DIV/0!</v>
      </c>
      <c r="T14" s="54"/>
      <c r="U14" s="97" t="e">
        <f t="shared" si="4"/>
        <v>#DIV/0!</v>
      </c>
      <c r="V14" s="54"/>
      <c r="W14" s="97" t="e">
        <f t="shared" si="8"/>
        <v>#DIV/0!</v>
      </c>
      <c r="X14" s="54"/>
      <c r="Y14" s="97" t="e">
        <f t="shared" si="5"/>
        <v>#DIV/0!</v>
      </c>
    </row>
    <row r="15" spans="1:25" s="18" customFormat="1" x14ac:dyDescent="0.25">
      <c r="A15" s="52" t="s">
        <v>13</v>
      </c>
      <c r="B15" s="62">
        <v>-137188.27332000001</v>
      </c>
      <c r="C15" s="54">
        <v>-11774.4</v>
      </c>
      <c r="D15" s="54">
        <f>-D12*0.06</f>
        <v>-140872.94362799998</v>
      </c>
      <c r="E15" s="49">
        <f>IFERROR((D15/B15)-1,0)</f>
        <v>2.6858493213959056E-2</v>
      </c>
      <c r="F15" s="54">
        <f>-F12*0.06</f>
        <v>-11989.2192</v>
      </c>
      <c r="G15" s="54">
        <f t="shared" ref="G15:X15" si="9">-G12*0.06</f>
        <v>-11889.045</v>
      </c>
      <c r="H15" s="54">
        <f t="shared" si="9"/>
        <v>-11783.871599999999</v>
      </c>
      <c r="I15" s="54">
        <f t="shared" si="9"/>
        <v>-11783.871599999999</v>
      </c>
      <c r="J15" s="54">
        <f t="shared" si="9"/>
        <v>-11693.7222</v>
      </c>
      <c r="K15" s="54">
        <f t="shared" si="9"/>
        <v>-11718.763199999999</v>
      </c>
      <c r="L15" s="54">
        <f t="shared" si="9"/>
        <v>-11713.754999999999</v>
      </c>
      <c r="M15" s="97">
        <f t="shared" si="3"/>
        <v>0.99484941907867908</v>
      </c>
      <c r="N15" s="54">
        <f t="shared" si="9"/>
        <v>-11813.9202</v>
      </c>
      <c r="O15" s="97">
        <f t="shared" si="7"/>
        <v>1.003356451284142</v>
      </c>
      <c r="P15" s="54">
        <f t="shared" si="9"/>
        <v>-11858.9946</v>
      </c>
      <c r="Q15" s="97">
        <f t="shared" si="4"/>
        <v>1.0071846208724011</v>
      </c>
      <c r="R15" s="54">
        <f t="shared" si="9"/>
        <v>-11909.071199999998</v>
      </c>
      <c r="S15" s="97">
        <f t="shared" si="4"/>
        <v>1.0114376273950263</v>
      </c>
      <c r="T15" s="54">
        <f t="shared" si="9"/>
        <v>-11743.8042</v>
      </c>
      <c r="U15" s="97">
        <f t="shared" si="4"/>
        <v>0.99740149816551171</v>
      </c>
      <c r="V15" s="54">
        <f t="shared" si="9"/>
        <v>0</v>
      </c>
      <c r="W15" s="97">
        <f t="shared" si="8"/>
        <v>0</v>
      </c>
      <c r="X15" s="54">
        <f t="shared" si="9"/>
        <v>-129898.03799999999</v>
      </c>
      <c r="Y15" s="97">
        <f t="shared" si="5"/>
        <v>0.92209358770140293</v>
      </c>
    </row>
    <row r="16" spans="1:25" ht="15.75" customHeight="1" x14ac:dyDescent="0.25">
      <c r="A16" s="69" t="s">
        <v>162</v>
      </c>
      <c r="B16" s="70">
        <v>978180.75100000005</v>
      </c>
      <c r="C16" s="56">
        <v>88535.285700000008</v>
      </c>
      <c r="D16" s="56">
        <f>SUM(D17:D24)</f>
        <v>1062423.4284000001</v>
      </c>
      <c r="E16" s="49">
        <f>IFERROR((D16/B16)-1,0)</f>
        <v>8.6121790184358282E-2</v>
      </c>
      <c r="F16" s="56">
        <f>SUM(F17:F24)</f>
        <v>81477.77</v>
      </c>
      <c r="G16" s="56">
        <f t="shared" ref="G16:X16" si="10">SUM(G17:G24)</f>
        <v>78957.899999999994</v>
      </c>
      <c r="H16" s="56">
        <f t="shared" si="10"/>
        <v>80445.25</v>
      </c>
      <c r="I16" s="56">
        <f t="shared" si="10"/>
        <v>121428.04999999999</v>
      </c>
      <c r="J16" s="56">
        <f t="shared" si="10"/>
        <v>82096.89</v>
      </c>
      <c r="K16" s="56">
        <f t="shared" si="10"/>
        <v>78981.189999999988</v>
      </c>
      <c r="L16" s="56">
        <f t="shared" si="10"/>
        <v>77264.369999999981</v>
      </c>
      <c r="M16" s="95">
        <f t="shared" si="3"/>
        <v>0.87269577761129846</v>
      </c>
      <c r="N16" s="56">
        <f t="shared" si="10"/>
        <v>105715.87999999999</v>
      </c>
      <c r="O16" s="95">
        <f t="shared" si="7"/>
        <v>1.1940536382094713</v>
      </c>
      <c r="P16" s="56">
        <f t="shared" si="10"/>
        <v>95318.939999999988</v>
      </c>
      <c r="Q16" s="95">
        <f t="shared" si="4"/>
        <v>1.0766209116101602</v>
      </c>
      <c r="R16" s="56">
        <f t="shared" si="10"/>
        <v>91199.359999999986</v>
      </c>
      <c r="S16" s="95">
        <f t="shared" si="4"/>
        <v>1.0300905371111257</v>
      </c>
      <c r="T16" s="56">
        <f t="shared" si="10"/>
        <v>86982.41</v>
      </c>
      <c r="U16" s="95">
        <f t="shared" si="4"/>
        <v>0.98246037511798523</v>
      </c>
      <c r="V16" s="56">
        <f t="shared" si="10"/>
        <v>0</v>
      </c>
      <c r="W16" s="95">
        <f t="shared" si="8"/>
        <v>0</v>
      </c>
      <c r="X16" s="56">
        <f t="shared" si="10"/>
        <v>979868.00999999989</v>
      </c>
      <c r="Y16" s="95">
        <f t="shared" si="5"/>
        <v>0.92229518269911659</v>
      </c>
    </row>
    <row r="17" spans="1:25" x14ac:dyDescent="0.25">
      <c r="A17" s="52" t="s">
        <v>5</v>
      </c>
      <c r="B17" s="62">
        <v>856800</v>
      </c>
      <c r="C17" s="54">
        <v>79611</v>
      </c>
      <c r="D17" s="54">
        <f>B17*1.115</f>
        <v>955332</v>
      </c>
      <c r="E17" s="49">
        <f>IFERROR((D17/B17)-1,0)</f>
        <v>0.11499999999999999</v>
      </c>
      <c r="F17" s="54">
        <v>77991.13</v>
      </c>
      <c r="G17" s="54">
        <v>75210.5</v>
      </c>
      <c r="H17" s="54">
        <v>76637.850000000006</v>
      </c>
      <c r="I17" s="54">
        <v>76717.64</v>
      </c>
      <c r="J17" s="54">
        <v>76967.61</v>
      </c>
      <c r="K17" s="54">
        <v>74843.47</v>
      </c>
      <c r="L17" s="54">
        <v>73906.649999999994</v>
      </c>
      <c r="M17" s="97">
        <f t="shared" si="3"/>
        <v>0.92834721332479175</v>
      </c>
      <c r="N17" s="54">
        <v>74826.509999999995</v>
      </c>
      <c r="O17" s="97">
        <f t="shared" si="7"/>
        <v>0.93990164675735755</v>
      </c>
      <c r="P17" s="54">
        <v>75017.36</v>
      </c>
      <c r="Q17" s="97">
        <f t="shared" si="4"/>
        <v>0.94229892854002584</v>
      </c>
      <c r="R17" s="54">
        <v>75749.09</v>
      </c>
      <c r="S17" s="97">
        <f t="shared" si="4"/>
        <v>0.95149024632274426</v>
      </c>
      <c r="T17" s="54">
        <v>75129.2</v>
      </c>
      <c r="U17" s="97">
        <f t="shared" si="4"/>
        <v>0.94370375953071806</v>
      </c>
      <c r="V17" s="54"/>
      <c r="W17" s="97">
        <f t="shared" si="8"/>
        <v>0</v>
      </c>
      <c r="X17" s="54">
        <f t="shared" ref="X17:X24" si="11">V17+T17+R17+P17+N17+L17+K17+J17+I17+H17+G17+F17</f>
        <v>832997.00999999989</v>
      </c>
      <c r="Y17" s="97">
        <f t="shared" si="5"/>
        <v>0.8719450515632261</v>
      </c>
    </row>
    <row r="18" spans="1:25" x14ac:dyDescent="0.25">
      <c r="A18" s="72" t="s">
        <v>6</v>
      </c>
      <c r="B18" s="62">
        <v>10876.761</v>
      </c>
      <c r="C18" s="54">
        <v>1155.82</v>
      </c>
      <c r="D18" s="54">
        <f>C18*12</f>
        <v>13869.84</v>
      </c>
      <c r="E18" s="49">
        <f>IFERROR((D18/B18)-1,0)</f>
        <v>0.27518109481306063</v>
      </c>
      <c r="F18" s="54">
        <v>1302.1600000000001</v>
      </c>
      <c r="G18" s="54">
        <v>1333.92</v>
      </c>
      <c r="H18" s="54">
        <v>1333.92</v>
      </c>
      <c r="I18" s="54">
        <v>1333.92</v>
      </c>
      <c r="J18" s="54">
        <v>1333.92</v>
      </c>
      <c r="K18" s="54">
        <v>1365.68</v>
      </c>
      <c r="L18" s="54">
        <v>1365.68</v>
      </c>
      <c r="M18" s="97">
        <f t="shared" si="3"/>
        <v>1.1815680642314548</v>
      </c>
      <c r="N18" s="54">
        <v>1333.92</v>
      </c>
      <c r="O18" s="97">
        <f t="shared" si="7"/>
        <v>1.1540897371563048</v>
      </c>
      <c r="P18" s="54">
        <v>1365.68</v>
      </c>
      <c r="Q18" s="97">
        <f t="shared" si="4"/>
        <v>1.1815680642314548</v>
      </c>
      <c r="R18" s="54">
        <v>1365.68</v>
      </c>
      <c r="S18" s="97">
        <f t="shared" si="4"/>
        <v>1.1815680642314548</v>
      </c>
      <c r="T18" s="54">
        <v>1429.2</v>
      </c>
      <c r="U18" s="97">
        <f t="shared" si="4"/>
        <v>1.2365247183817552</v>
      </c>
      <c r="V18" s="54"/>
      <c r="W18" s="97">
        <f t="shared" si="8"/>
        <v>0</v>
      </c>
      <c r="X18" s="54">
        <f t="shared" si="11"/>
        <v>14863.68</v>
      </c>
      <c r="Y18" s="97">
        <f t="shared" si="5"/>
        <v>1.0716547559308542</v>
      </c>
    </row>
    <row r="19" spans="1:25" x14ac:dyDescent="0.25">
      <c r="A19" s="72" t="s">
        <v>7</v>
      </c>
      <c r="B19" s="62">
        <v>9102.24</v>
      </c>
      <c r="C19" s="54">
        <v>1252.9032</v>
      </c>
      <c r="D19" s="54">
        <v>15034.838400000001</v>
      </c>
      <c r="E19" s="49">
        <f>IFERROR((D19/B19)-1,0)</f>
        <v>0.65177345356747352</v>
      </c>
      <c r="F19" s="54">
        <v>1204.48</v>
      </c>
      <c r="G19" s="54">
        <v>1204.48</v>
      </c>
      <c r="H19" s="54">
        <v>1204.48</v>
      </c>
      <c r="I19" s="54">
        <v>1251.92</v>
      </c>
      <c r="J19" s="54">
        <v>1299.3599999999999</v>
      </c>
      <c r="K19" s="54">
        <v>1251.04</v>
      </c>
      <c r="L19" s="54">
        <v>1251.04</v>
      </c>
      <c r="M19" s="97">
        <f t="shared" si="3"/>
        <v>0.99851289389315945</v>
      </c>
      <c r="N19" s="54">
        <v>1251.04</v>
      </c>
      <c r="O19" s="97">
        <f t="shared" si="7"/>
        <v>0.99851289389315945</v>
      </c>
      <c r="P19" s="54">
        <v>1251.04</v>
      </c>
      <c r="Q19" s="97">
        <f t="shared" si="4"/>
        <v>0.99851289389315945</v>
      </c>
      <c r="R19" s="54">
        <v>1251.04</v>
      </c>
      <c r="S19" s="97">
        <f t="shared" si="4"/>
        <v>0.99851289389315945</v>
      </c>
      <c r="T19" s="54">
        <v>1250.1600000000001</v>
      </c>
      <c r="U19" s="97">
        <f t="shared" si="4"/>
        <v>0.99781052518662261</v>
      </c>
      <c r="V19" s="54"/>
      <c r="W19" s="97">
        <f t="shared" si="8"/>
        <v>0</v>
      </c>
      <c r="X19" s="54">
        <f t="shared" si="11"/>
        <v>13670.079999999998</v>
      </c>
      <c r="Y19" s="97">
        <f t="shared" si="5"/>
        <v>0.90922693256217491</v>
      </c>
    </row>
    <row r="20" spans="1:25" x14ac:dyDescent="0.25">
      <c r="A20" s="52" t="s">
        <v>8</v>
      </c>
      <c r="B20" s="62">
        <v>5000</v>
      </c>
      <c r="C20" s="54">
        <v>0</v>
      </c>
      <c r="D20" s="54">
        <v>0</v>
      </c>
      <c r="E20" s="49"/>
      <c r="F20" s="54">
        <v>0</v>
      </c>
      <c r="G20" s="54"/>
      <c r="H20" s="54"/>
      <c r="I20" s="54">
        <v>2000</v>
      </c>
      <c r="J20" s="54"/>
      <c r="K20" s="54"/>
      <c r="L20" s="54"/>
      <c r="M20" s="97" t="e">
        <f t="shared" si="3"/>
        <v>#DIV/0!</v>
      </c>
      <c r="N20" s="54"/>
      <c r="O20" s="97" t="e">
        <f t="shared" si="7"/>
        <v>#DIV/0!</v>
      </c>
      <c r="P20" s="54"/>
      <c r="Q20" s="97" t="e">
        <f t="shared" si="4"/>
        <v>#DIV/0!</v>
      </c>
      <c r="R20" s="54"/>
      <c r="S20" s="97" t="e">
        <f t="shared" si="4"/>
        <v>#DIV/0!</v>
      </c>
      <c r="T20" s="54"/>
      <c r="U20" s="97" t="e">
        <f t="shared" si="4"/>
        <v>#DIV/0!</v>
      </c>
      <c r="V20" s="54"/>
      <c r="W20" s="97">
        <f t="shared" si="8"/>
        <v>0</v>
      </c>
      <c r="X20" s="54">
        <f t="shared" si="11"/>
        <v>2000</v>
      </c>
      <c r="Y20" s="97" t="e">
        <f t="shared" si="5"/>
        <v>#DIV/0!</v>
      </c>
    </row>
    <row r="21" spans="1:25" x14ac:dyDescent="0.25">
      <c r="A21" s="52" t="s">
        <v>159</v>
      </c>
      <c r="B21" s="62">
        <v>79400</v>
      </c>
      <c r="C21" s="54">
        <v>4916.666666666667</v>
      </c>
      <c r="D21" s="54">
        <v>59000</v>
      </c>
      <c r="E21" s="49">
        <f>IFERROR((D21/B21)-1,0)</f>
        <v>-0.25692695214105798</v>
      </c>
      <c r="F21" s="54">
        <v>0</v>
      </c>
      <c r="G21" s="54"/>
      <c r="H21" s="54"/>
      <c r="I21" s="54">
        <v>38603.57</v>
      </c>
      <c r="J21" s="54"/>
      <c r="K21" s="54"/>
      <c r="L21" s="54"/>
      <c r="M21" s="97">
        <f t="shared" si="3"/>
        <v>0</v>
      </c>
      <c r="N21" s="54">
        <v>26978.41</v>
      </c>
      <c r="O21" s="97">
        <f t="shared" si="7"/>
        <v>5.4871342372881351</v>
      </c>
      <c r="P21" s="54">
        <v>7626.86</v>
      </c>
      <c r="Q21" s="97">
        <f t="shared" si="4"/>
        <v>1.5512257627118642</v>
      </c>
      <c r="R21" s="54">
        <v>7755.55</v>
      </c>
      <c r="S21" s="97">
        <f t="shared" si="4"/>
        <v>1.5773999999999999</v>
      </c>
      <c r="T21" s="54">
        <v>7613.85</v>
      </c>
      <c r="U21" s="97">
        <f t="shared" si="4"/>
        <v>1.5485796610169491</v>
      </c>
      <c r="V21" s="54"/>
      <c r="W21" s="97">
        <f t="shared" si="8"/>
        <v>0</v>
      </c>
      <c r="X21" s="54">
        <f t="shared" si="11"/>
        <v>88578.239999999991</v>
      </c>
      <c r="Y21" s="97">
        <f t="shared" si="5"/>
        <v>1.5013261016949151</v>
      </c>
    </row>
    <row r="22" spans="1:25" x14ac:dyDescent="0.25">
      <c r="A22" s="52" t="s">
        <v>160</v>
      </c>
      <c r="B22" s="62">
        <v>0</v>
      </c>
      <c r="C22" s="54">
        <v>0</v>
      </c>
      <c r="D22" s="54">
        <v>0</v>
      </c>
      <c r="E22" s="49"/>
      <c r="F22" s="54">
        <v>0</v>
      </c>
      <c r="G22" s="54"/>
      <c r="H22" s="54"/>
      <c r="I22" s="54"/>
      <c r="J22" s="54"/>
      <c r="K22" s="54"/>
      <c r="L22" s="54"/>
      <c r="M22" s="97" t="e">
        <f t="shared" si="3"/>
        <v>#DIV/0!</v>
      </c>
      <c r="N22" s="54"/>
      <c r="O22" s="97" t="e">
        <f t="shared" si="7"/>
        <v>#DIV/0!</v>
      </c>
      <c r="P22" s="54">
        <v>9200</v>
      </c>
      <c r="Q22" s="97" t="e">
        <f t="shared" si="4"/>
        <v>#DIV/0!</v>
      </c>
      <c r="R22" s="54"/>
      <c r="S22" s="97" t="e">
        <f t="shared" si="4"/>
        <v>#DIV/0!</v>
      </c>
      <c r="T22" s="54"/>
      <c r="U22" s="97" t="e">
        <f t="shared" si="4"/>
        <v>#DIV/0!</v>
      </c>
      <c r="V22" s="54"/>
      <c r="W22" s="97" t="e">
        <f t="shared" si="8"/>
        <v>#DIV/0!</v>
      </c>
      <c r="X22" s="54">
        <f t="shared" si="11"/>
        <v>9200</v>
      </c>
      <c r="Y22" s="97" t="e">
        <f t="shared" si="5"/>
        <v>#DIV/0!</v>
      </c>
    </row>
    <row r="23" spans="1:25" x14ac:dyDescent="0.25">
      <c r="A23" s="52" t="s">
        <v>23</v>
      </c>
      <c r="B23" s="62">
        <v>6186.75</v>
      </c>
      <c r="C23" s="54">
        <v>515.5625</v>
      </c>
      <c r="D23" s="54">
        <f>B23</f>
        <v>6186.75</v>
      </c>
      <c r="E23" s="49">
        <f t="shared" ref="E23:E35" si="12">IFERROR((D23/B23)-1,0)</f>
        <v>0</v>
      </c>
      <c r="F23" s="54">
        <v>0</v>
      </c>
      <c r="G23" s="54"/>
      <c r="H23" s="54">
        <v>60</v>
      </c>
      <c r="I23" s="54"/>
      <c r="J23" s="54"/>
      <c r="K23" s="54"/>
      <c r="L23" s="54"/>
      <c r="M23" s="97">
        <f t="shared" si="3"/>
        <v>0</v>
      </c>
      <c r="N23" s="54"/>
      <c r="O23" s="97">
        <f t="shared" si="7"/>
        <v>0</v>
      </c>
      <c r="P23" s="54"/>
      <c r="Q23" s="97">
        <f t="shared" si="4"/>
        <v>0</v>
      </c>
      <c r="R23" s="54">
        <v>3990</v>
      </c>
      <c r="S23" s="97">
        <f t="shared" si="4"/>
        <v>7.7391198933204022</v>
      </c>
      <c r="T23" s="54"/>
      <c r="U23" s="97">
        <f t="shared" si="4"/>
        <v>0</v>
      </c>
      <c r="V23" s="54"/>
      <c r="W23" s="97" t="e">
        <f t="shared" si="8"/>
        <v>#DIV/0!</v>
      </c>
      <c r="X23" s="54">
        <f t="shared" si="11"/>
        <v>4050</v>
      </c>
      <c r="Y23" s="97">
        <f t="shared" si="5"/>
        <v>0.654624803006425</v>
      </c>
    </row>
    <row r="24" spans="1:25" x14ac:dyDescent="0.25">
      <c r="A24" s="52" t="s">
        <v>147</v>
      </c>
      <c r="B24" s="62">
        <v>10815</v>
      </c>
      <c r="C24" s="54">
        <v>1083.3333333333333</v>
      </c>
      <c r="D24" s="54">
        <v>13000</v>
      </c>
      <c r="E24" s="49">
        <f t="shared" si="12"/>
        <v>0.20203421174294967</v>
      </c>
      <c r="F24" s="54">
        <v>980</v>
      </c>
      <c r="G24" s="54">
        <v>1209</v>
      </c>
      <c r="H24" s="54">
        <v>1209</v>
      </c>
      <c r="I24" s="54">
        <v>1521</v>
      </c>
      <c r="J24" s="54">
        <v>2496</v>
      </c>
      <c r="K24" s="54">
        <v>1521</v>
      </c>
      <c r="L24" s="54">
        <v>741</v>
      </c>
      <c r="M24" s="97">
        <f t="shared" si="3"/>
        <v>0.68400000000000005</v>
      </c>
      <c r="N24" s="54">
        <v>1326</v>
      </c>
      <c r="O24" s="97">
        <f t="shared" si="7"/>
        <v>1.224</v>
      </c>
      <c r="P24" s="54">
        <v>858</v>
      </c>
      <c r="Q24" s="97">
        <f t="shared" si="4"/>
        <v>0.79200000000000004</v>
      </c>
      <c r="R24" s="54">
        <v>1088</v>
      </c>
      <c r="S24" s="97">
        <f t="shared" si="4"/>
        <v>1.0043076923076923</v>
      </c>
      <c r="T24" s="54">
        <v>1560</v>
      </c>
      <c r="U24" s="97">
        <f t="shared" si="4"/>
        <v>1.4400000000000002</v>
      </c>
      <c r="V24" s="54"/>
      <c r="W24" s="97">
        <f t="shared" si="8"/>
        <v>0</v>
      </c>
      <c r="X24" s="54">
        <f t="shared" si="11"/>
        <v>14509</v>
      </c>
      <c r="Y24" s="97">
        <f t="shared" si="5"/>
        <v>1.116076923076923</v>
      </c>
    </row>
    <row r="25" spans="1:25" x14ac:dyDescent="0.25">
      <c r="A25" s="69" t="s">
        <v>14</v>
      </c>
      <c r="B25" s="70">
        <v>547050</v>
      </c>
      <c r="C25" s="56">
        <v>54166.666666666664</v>
      </c>
      <c r="D25" s="56">
        <f>SUM(D26:D29)</f>
        <v>650000</v>
      </c>
      <c r="E25" s="49">
        <f t="shared" si="12"/>
        <v>0.18819120738506534</v>
      </c>
      <c r="F25" s="56">
        <f>SUM(F26:F29)</f>
        <v>28201.41</v>
      </c>
      <c r="G25" s="56">
        <f t="shared" ref="G25:X25" si="13">SUM(G26:G29)</f>
        <v>55904.37</v>
      </c>
      <c r="H25" s="56">
        <f t="shared" si="13"/>
        <v>66876.38</v>
      </c>
      <c r="I25" s="56">
        <f t="shared" si="13"/>
        <v>64688.84</v>
      </c>
      <c r="J25" s="56">
        <f t="shared" si="13"/>
        <v>76900.789999999994</v>
      </c>
      <c r="K25" s="56">
        <f t="shared" si="13"/>
        <v>103277.58</v>
      </c>
      <c r="L25" s="56">
        <f t="shared" si="13"/>
        <v>59195.99</v>
      </c>
      <c r="M25" s="95">
        <f t="shared" si="3"/>
        <v>1.0928490461538463</v>
      </c>
      <c r="N25" s="56">
        <f t="shared" si="13"/>
        <v>52008.9</v>
      </c>
      <c r="O25" s="95">
        <f t="shared" si="7"/>
        <v>0.96016430769230776</v>
      </c>
      <c r="P25" s="56">
        <f t="shared" si="13"/>
        <v>50092.56</v>
      </c>
      <c r="Q25" s="95">
        <f t="shared" si="4"/>
        <v>0.92478572307692308</v>
      </c>
      <c r="R25" s="56">
        <f t="shared" si="13"/>
        <v>51438.29</v>
      </c>
      <c r="S25" s="95">
        <f t="shared" si="4"/>
        <v>0.94962996923076926</v>
      </c>
      <c r="T25" s="56">
        <f t="shared" si="13"/>
        <v>43246.34</v>
      </c>
      <c r="U25" s="95">
        <f t="shared" si="4"/>
        <v>0.79839396923076922</v>
      </c>
      <c r="V25" s="56">
        <f t="shared" si="13"/>
        <v>0</v>
      </c>
      <c r="W25" s="95">
        <f t="shared" si="8"/>
        <v>0</v>
      </c>
      <c r="X25" s="56">
        <f t="shared" si="13"/>
        <v>651831.44999999995</v>
      </c>
      <c r="Y25" s="95">
        <f t="shared" si="5"/>
        <v>1.0028176153846153</v>
      </c>
    </row>
    <row r="26" spans="1:25" x14ac:dyDescent="0.25">
      <c r="A26" s="72" t="s">
        <v>15</v>
      </c>
      <c r="B26" s="62">
        <v>330750</v>
      </c>
      <c r="C26" s="54">
        <v>35416.666666666664</v>
      </c>
      <c r="D26" s="54">
        <v>425000</v>
      </c>
      <c r="E26" s="49">
        <f t="shared" si="12"/>
        <v>0.28495842781557057</v>
      </c>
      <c r="F26" s="54">
        <f>1500.17</f>
        <v>1500.17</v>
      </c>
      <c r="G26" s="54">
        <f>37215+12260</f>
        <v>49475</v>
      </c>
      <c r="H26" s="54">
        <f>44264.82+15340</f>
        <v>59604.82</v>
      </c>
      <c r="I26" s="54">
        <f>42225+15470</f>
        <v>57695</v>
      </c>
      <c r="J26" s="54">
        <f>40002.5+9000+13895</f>
        <v>62897.5</v>
      </c>
      <c r="K26" s="54">
        <f>38170+1200+12330</f>
        <v>51700</v>
      </c>
      <c r="L26" s="54"/>
      <c r="M26" s="97">
        <f t="shared" si="3"/>
        <v>0</v>
      </c>
      <c r="N26" s="54">
        <f>25450+11090</f>
        <v>36540</v>
      </c>
      <c r="O26" s="97">
        <f t="shared" si="7"/>
        <v>1.0317176470588236</v>
      </c>
      <c r="P26" s="54">
        <f>33305+85+10060</f>
        <v>43450</v>
      </c>
      <c r="Q26" s="97">
        <f t="shared" si="4"/>
        <v>1.2268235294117649</v>
      </c>
      <c r="R26" s="54">
        <f>24465+9720+2200</f>
        <v>36385</v>
      </c>
      <c r="S26" s="97">
        <f t="shared" si="4"/>
        <v>1.0273411764705882</v>
      </c>
      <c r="T26" s="54">
        <f>24030+8940</f>
        <v>32970</v>
      </c>
      <c r="U26" s="97">
        <f t="shared" si="4"/>
        <v>0.93091764705882363</v>
      </c>
      <c r="V26" s="54"/>
      <c r="W26" s="97">
        <f t="shared" si="8"/>
        <v>0</v>
      </c>
      <c r="X26" s="54">
        <f>V26+T26+R26+P26+N26+L26+K26+J26+I26+H26+G26+F26</f>
        <v>432217.49</v>
      </c>
      <c r="Y26" s="97">
        <f t="shared" si="5"/>
        <v>1.0169823294117646</v>
      </c>
    </row>
    <row r="27" spans="1:25" x14ac:dyDescent="0.25">
      <c r="A27" s="72" t="s">
        <v>16</v>
      </c>
      <c r="B27" s="62">
        <v>126000</v>
      </c>
      <c r="C27" s="54">
        <v>8333.3333333333339</v>
      </c>
      <c r="D27" s="54">
        <v>100000</v>
      </c>
      <c r="E27" s="49">
        <f t="shared" si="12"/>
        <v>-0.20634920634920639</v>
      </c>
      <c r="F27" s="54">
        <f>5228.35</f>
        <v>5228.3500000000004</v>
      </c>
      <c r="G27" s="54">
        <f>5920</f>
        <v>5920</v>
      </c>
      <c r="H27" s="54">
        <v>6630</v>
      </c>
      <c r="I27" s="54">
        <f>5907.5</f>
        <v>5907.5</v>
      </c>
      <c r="J27" s="54">
        <f>8180+1200</f>
        <v>9380</v>
      </c>
      <c r="K27" s="54">
        <f>3520</f>
        <v>3520</v>
      </c>
      <c r="L27" s="54">
        <f>4150</f>
        <v>4150</v>
      </c>
      <c r="M27" s="97">
        <f t="shared" si="3"/>
        <v>0.49799999999999994</v>
      </c>
      <c r="N27" s="54">
        <f>8895+1480</f>
        <v>10375</v>
      </c>
      <c r="O27" s="97">
        <f t="shared" si="7"/>
        <v>1.2449999999999999</v>
      </c>
      <c r="P27" s="54">
        <f>4450+1480</f>
        <v>5930</v>
      </c>
      <c r="Q27" s="97">
        <f t="shared" si="4"/>
        <v>0.7115999999999999</v>
      </c>
      <c r="R27" s="54">
        <f>8475+3620</f>
        <v>12095</v>
      </c>
      <c r="S27" s="97">
        <f t="shared" si="4"/>
        <v>1.4513999999999998</v>
      </c>
      <c r="T27" s="54">
        <f>7490</f>
        <v>7490</v>
      </c>
      <c r="U27" s="97">
        <f t="shared" si="4"/>
        <v>0.89879999999999993</v>
      </c>
      <c r="V27" s="54"/>
      <c r="W27" s="97">
        <f t="shared" si="8"/>
        <v>0</v>
      </c>
      <c r="X27" s="54">
        <f>V27+T27+R27+P27+N27+L27+K27+J27+I27+H27+G27+F27</f>
        <v>76625.850000000006</v>
      </c>
      <c r="Y27" s="97">
        <f t="shared" si="5"/>
        <v>0.76625850000000006</v>
      </c>
    </row>
    <row r="28" spans="1:25" x14ac:dyDescent="0.25">
      <c r="A28" s="72" t="s">
        <v>165</v>
      </c>
      <c r="B28" s="62">
        <v>11550</v>
      </c>
      <c r="C28" s="54">
        <v>416.66666666666669</v>
      </c>
      <c r="D28" s="54">
        <v>5000</v>
      </c>
      <c r="E28" s="49">
        <f t="shared" si="12"/>
        <v>-0.5670995670995671</v>
      </c>
      <c r="F28" s="54">
        <v>64.39</v>
      </c>
      <c r="G28" s="54">
        <v>1289.3699999999999</v>
      </c>
      <c r="H28" s="54">
        <v>641.55999999999995</v>
      </c>
      <c r="I28" s="54">
        <v>1086.3399999999999</v>
      </c>
      <c r="J28" s="54">
        <v>1708.29</v>
      </c>
      <c r="K28" s="54">
        <v>128.78</v>
      </c>
      <c r="L28" s="54">
        <v>1255.99</v>
      </c>
      <c r="M28" s="97">
        <f t="shared" si="3"/>
        <v>3.0143759999999999</v>
      </c>
      <c r="N28" s="54">
        <f>1093.9+1900</f>
        <v>2993.9</v>
      </c>
      <c r="O28" s="97">
        <f t="shared" si="7"/>
        <v>7.1853600000000002</v>
      </c>
      <c r="P28" s="54">
        <v>712.56</v>
      </c>
      <c r="Q28" s="97">
        <f t="shared" si="4"/>
        <v>1.7101439999999999</v>
      </c>
      <c r="R28" s="54">
        <v>2958.29</v>
      </c>
      <c r="S28" s="97">
        <f t="shared" si="4"/>
        <v>7.0998959999999993</v>
      </c>
      <c r="T28" s="54">
        <v>1736.34</v>
      </c>
      <c r="U28" s="97">
        <f t="shared" si="4"/>
        <v>4.1672159999999998</v>
      </c>
      <c r="V28" s="54"/>
      <c r="W28" s="97">
        <f t="shared" si="8"/>
        <v>0</v>
      </c>
      <c r="X28" s="54">
        <f>V28+T28+R28+P28+N28+L28+K28+J28+I28+H28+G28+F28</f>
        <v>14575.810000000001</v>
      </c>
      <c r="Y28" s="97">
        <f t="shared" si="5"/>
        <v>2.9151620000000005</v>
      </c>
    </row>
    <row r="29" spans="1:25" x14ac:dyDescent="0.25">
      <c r="A29" s="52" t="s">
        <v>17</v>
      </c>
      <c r="B29" s="62">
        <v>78750</v>
      </c>
      <c r="C29" s="54">
        <v>10000</v>
      </c>
      <c r="D29" s="54">
        <v>120000</v>
      </c>
      <c r="E29" s="49">
        <f t="shared" si="12"/>
        <v>0.52380952380952372</v>
      </c>
      <c r="F29" s="54">
        <f>23038.5-1630</f>
        <v>21408.5</v>
      </c>
      <c r="G29" s="54">
        <v>-780</v>
      </c>
      <c r="H29" s="54">
        <v>0</v>
      </c>
      <c r="I29" s="54"/>
      <c r="J29" s="54">
        <v>2915</v>
      </c>
      <c r="K29" s="54">
        <v>47928.800000000003</v>
      </c>
      <c r="L29" s="54">
        <v>53790</v>
      </c>
      <c r="M29" s="97">
        <f t="shared" si="3"/>
        <v>5.3789999999999996</v>
      </c>
      <c r="N29" s="54">
        <v>2100</v>
      </c>
      <c r="O29" s="97">
        <f t="shared" si="7"/>
        <v>0.21</v>
      </c>
      <c r="P29" s="54"/>
      <c r="Q29" s="97">
        <f t="shared" si="4"/>
        <v>0</v>
      </c>
      <c r="R29" s="54"/>
      <c r="S29" s="97">
        <f t="shared" si="4"/>
        <v>0</v>
      </c>
      <c r="T29" s="54">
        <v>1050</v>
      </c>
      <c r="U29" s="97">
        <f t="shared" si="4"/>
        <v>0.105</v>
      </c>
      <c r="V29" s="54"/>
      <c r="W29" s="97" t="e">
        <f t="shared" si="8"/>
        <v>#DIV/0!</v>
      </c>
      <c r="X29" s="54">
        <f>V29+T29+R29+P29+N29+L29+K29+J29+I29+H29+G29+F29</f>
        <v>128412.3</v>
      </c>
      <c r="Y29" s="97">
        <f t="shared" si="5"/>
        <v>1.0701025</v>
      </c>
    </row>
    <row r="30" spans="1:25" x14ac:dyDescent="0.25">
      <c r="A30" s="69" t="s">
        <v>124</v>
      </c>
      <c r="B30" s="70">
        <v>25000</v>
      </c>
      <c r="C30" s="56">
        <v>5833.333333333333</v>
      </c>
      <c r="D30" s="56">
        <f>D31</f>
        <v>70000</v>
      </c>
      <c r="E30" s="49">
        <f t="shared" si="12"/>
        <v>1.7999999999999998</v>
      </c>
      <c r="F30" s="56">
        <f>F31</f>
        <v>4947.869999999999</v>
      </c>
      <c r="G30" s="56">
        <f t="shared" ref="G30:X30" si="14">G31</f>
        <v>5242.7299999999996</v>
      </c>
      <c r="H30" s="56">
        <f t="shared" si="14"/>
        <v>8175.67</v>
      </c>
      <c r="I30" s="56">
        <f t="shared" si="14"/>
        <v>12315.919999999998</v>
      </c>
      <c r="J30" s="56">
        <f t="shared" si="14"/>
        <v>9857.24</v>
      </c>
      <c r="K30" s="56">
        <f t="shared" si="14"/>
        <v>9875.9</v>
      </c>
      <c r="L30" s="56">
        <f t="shared" si="14"/>
        <v>7706.82</v>
      </c>
      <c r="M30" s="95">
        <f t="shared" si="3"/>
        <v>1.3211691428571428</v>
      </c>
      <c r="N30" s="56">
        <f t="shared" si="14"/>
        <v>9828.14</v>
      </c>
      <c r="O30" s="95">
        <f t="shared" si="7"/>
        <v>1.6848239999999999</v>
      </c>
      <c r="P30" s="56">
        <f t="shared" si="14"/>
        <v>2986.9000000000005</v>
      </c>
      <c r="Q30" s="95">
        <f t="shared" si="4"/>
        <v>0.51204000000000016</v>
      </c>
      <c r="R30" s="56">
        <f t="shared" si="14"/>
        <v>1689.87</v>
      </c>
      <c r="S30" s="95">
        <f t="shared" si="4"/>
        <v>0.28969200000000001</v>
      </c>
      <c r="T30" s="56">
        <f t="shared" si="14"/>
        <v>1840.75</v>
      </c>
      <c r="U30" s="95">
        <f t="shared" si="4"/>
        <v>0.31555714285714287</v>
      </c>
      <c r="V30" s="56">
        <f t="shared" si="14"/>
        <v>0</v>
      </c>
      <c r="W30" s="95">
        <f t="shared" si="8"/>
        <v>0</v>
      </c>
      <c r="X30" s="56">
        <f t="shared" si="14"/>
        <v>74467.809999999983</v>
      </c>
      <c r="Y30" s="95">
        <f t="shared" si="5"/>
        <v>1.0638258571428569</v>
      </c>
    </row>
    <row r="31" spans="1:25" x14ac:dyDescent="0.25">
      <c r="A31" s="73" t="s">
        <v>18</v>
      </c>
      <c r="B31" s="62">
        <v>25000</v>
      </c>
      <c r="C31" s="54">
        <v>5833.333333333333</v>
      </c>
      <c r="D31" s="54">
        <v>70000</v>
      </c>
      <c r="E31" s="49">
        <f t="shared" si="12"/>
        <v>1.7999999999999998</v>
      </c>
      <c r="F31" s="54">
        <f>9029.64-4935.81+854.04</f>
        <v>4947.869999999999</v>
      </c>
      <c r="G31" s="54">
        <f>9641.21-4398.48</f>
        <v>5242.7299999999996</v>
      </c>
      <c r="H31" s="54">
        <f>7085.87-1924.47+3014.27</f>
        <v>8175.67</v>
      </c>
      <c r="I31" s="54">
        <f>11342.82+336.22+636.88</f>
        <v>12315.919999999998</v>
      </c>
      <c r="J31" s="54">
        <f>8175.64+1681.6</f>
        <v>9857.24</v>
      </c>
      <c r="K31" s="54">
        <v>9875.9</v>
      </c>
      <c r="L31" s="54">
        <v>7706.82</v>
      </c>
      <c r="M31" s="97">
        <f t="shared" si="3"/>
        <v>1.3211691428571428</v>
      </c>
      <c r="N31" s="54">
        <v>9828.14</v>
      </c>
      <c r="O31" s="97">
        <f t="shared" si="7"/>
        <v>1.6848239999999999</v>
      </c>
      <c r="P31" s="54">
        <f>8610.94-5624.04</f>
        <v>2986.9000000000005</v>
      </c>
      <c r="Q31" s="97">
        <f t="shared" si="4"/>
        <v>0.51204000000000016</v>
      </c>
      <c r="R31" s="54">
        <v>1689.87</v>
      </c>
      <c r="S31" s="97">
        <f t="shared" si="4"/>
        <v>0.28969200000000001</v>
      </c>
      <c r="T31" s="54">
        <v>1840.75</v>
      </c>
      <c r="U31" s="97">
        <f t="shared" si="4"/>
        <v>0.31555714285714287</v>
      </c>
      <c r="V31" s="54"/>
      <c r="W31" s="97">
        <f t="shared" si="8"/>
        <v>0</v>
      </c>
      <c r="X31" s="54">
        <f t="shared" ref="X31:X36" si="15">V31+T31+R31+P31+N31+L31+K31+J31+I31+H31+G31+F31</f>
        <v>74467.809999999983</v>
      </c>
      <c r="Y31" s="97">
        <f t="shared" si="5"/>
        <v>1.0638258571428569</v>
      </c>
    </row>
    <row r="32" spans="1:25" x14ac:dyDescent="0.25">
      <c r="A32" s="69" t="s">
        <v>19</v>
      </c>
      <c r="B32" s="70">
        <v>151751</v>
      </c>
      <c r="C32" s="56">
        <v>35463.296666666669</v>
      </c>
      <c r="D32" s="56">
        <f>SUM(D33:D36)</f>
        <v>425559.56</v>
      </c>
      <c r="E32" s="49">
        <f t="shared" si="12"/>
        <v>1.8043278792232011</v>
      </c>
      <c r="F32" s="56">
        <f>SUM(F33:F36)</f>
        <v>21919.81</v>
      </c>
      <c r="G32" s="56">
        <f t="shared" ref="G32:V32" si="16">SUM(G33:G36)</f>
        <v>34583.81</v>
      </c>
      <c r="H32" s="56">
        <f t="shared" si="16"/>
        <v>23772.81</v>
      </c>
      <c r="I32" s="56">
        <f t="shared" si="16"/>
        <v>33327.81</v>
      </c>
      <c r="J32" s="56">
        <f t="shared" si="16"/>
        <v>67120.81</v>
      </c>
      <c r="K32" s="56">
        <f t="shared" si="16"/>
        <v>26557.81</v>
      </c>
      <c r="L32" s="56">
        <f t="shared" si="16"/>
        <v>83891.81</v>
      </c>
      <c r="M32" s="95">
        <f t="shared" si="3"/>
        <v>2.3655953587319245</v>
      </c>
      <c r="N32" s="56">
        <f t="shared" si="16"/>
        <v>61742.799999999996</v>
      </c>
      <c r="O32" s="95">
        <f t="shared" si="7"/>
        <v>1.741033851994771</v>
      </c>
      <c r="P32" s="56">
        <f t="shared" si="16"/>
        <v>61639.81</v>
      </c>
      <c r="Q32" s="95">
        <f t="shared" si="4"/>
        <v>1.7381297226644372</v>
      </c>
      <c r="R32" s="56">
        <f t="shared" si="16"/>
        <v>733.81</v>
      </c>
      <c r="S32" s="95">
        <f t="shared" si="4"/>
        <v>2.0692097717179704E-2</v>
      </c>
      <c r="T32" s="56">
        <f t="shared" si="16"/>
        <v>35212.81</v>
      </c>
      <c r="U32" s="95">
        <f t="shared" si="4"/>
        <v>0.99293673487208223</v>
      </c>
      <c r="V32" s="56">
        <f t="shared" si="16"/>
        <v>0</v>
      </c>
      <c r="W32" s="95">
        <f t="shared" si="8"/>
        <v>0</v>
      </c>
      <c r="X32" s="56">
        <f t="shared" si="15"/>
        <v>450503.89999999997</v>
      </c>
      <c r="Y32" s="95">
        <f t="shared" si="5"/>
        <v>1.0586153909925087</v>
      </c>
    </row>
    <row r="33" spans="1:25" x14ac:dyDescent="0.25">
      <c r="A33" s="61" t="s">
        <v>20</v>
      </c>
      <c r="B33" s="62">
        <v>0</v>
      </c>
      <c r="C33" s="54">
        <v>16666.666666666668</v>
      </c>
      <c r="D33" s="54">
        <v>200000</v>
      </c>
      <c r="E33" s="49">
        <f t="shared" si="12"/>
        <v>0</v>
      </c>
      <c r="F33" s="54">
        <v>20000</v>
      </c>
      <c r="G33" s="54">
        <v>20000</v>
      </c>
      <c r="H33" s="54">
        <v>20300</v>
      </c>
      <c r="I33" s="54">
        <v>20000</v>
      </c>
      <c r="J33" s="54">
        <v>40000</v>
      </c>
      <c r="K33" s="54">
        <v>20000</v>
      </c>
      <c r="L33" s="54">
        <v>40000</v>
      </c>
      <c r="M33" s="97">
        <f t="shared" si="3"/>
        <v>2.4</v>
      </c>
      <c r="N33" s="54">
        <v>40000</v>
      </c>
      <c r="O33" s="97">
        <f t="shared" si="7"/>
        <v>2.4</v>
      </c>
      <c r="P33" s="54">
        <v>40000</v>
      </c>
      <c r="Q33" s="97">
        <f t="shared" si="4"/>
        <v>2.4</v>
      </c>
      <c r="R33" s="54"/>
      <c r="S33" s="97">
        <f t="shared" si="4"/>
        <v>0</v>
      </c>
      <c r="T33" s="54">
        <v>30000</v>
      </c>
      <c r="U33" s="97">
        <f t="shared" si="4"/>
        <v>1.7999999999999998</v>
      </c>
      <c r="V33" s="54"/>
      <c r="W33" s="97">
        <f t="shared" si="8"/>
        <v>0</v>
      </c>
      <c r="X33" s="54">
        <f t="shared" si="15"/>
        <v>290300</v>
      </c>
      <c r="Y33" s="97">
        <f t="shared" si="5"/>
        <v>1.4515</v>
      </c>
    </row>
    <row r="34" spans="1:25" x14ac:dyDescent="0.25">
      <c r="A34" s="52" t="s">
        <v>25</v>
      </c>
      <c r="B34" s="62">
        <v>0</v>
      </c>
      <c r="C34" s="54">
        <v>4166.666666666667</v>
      </c>
      <c r="D34" s="54">
        <v>50000</v>
      </c>
      <c r="E34" s="49">
        <f t="shared" si="12"/>
        <v>0</v>
      </c>
      <c r="F34" s="54">
        <v>0</v>
      </c>
      <c r="G34" s="54"/>
      <c r="H34" s="54"/>
      <c r="I34" s="54"/>
      <c r="J34" s="54">
        <v>10000</v>
      </c>
      <c r="K34" s="54"/>
      <c r="L34" s="54">
        <v>5000</v>
      </c>
      <c r="M34" s="97">
        <f t="shared" si="3"/>
        <v>1.2</v>
      </c>
      <c r="N34" s="54">
        <v>10000</v>
      </c>
      <c r="O34" s="97">
        <f t="shared" si="7"/>
        <v>2.4</v>
      </c>
      <c r="P34" s="54">
        <v>10000</v>
      </c>
      <c r="Q34" s="97">
        <f t="shared" si="4"/>
        <v>2.4</v>
      </c>
      <c r="R34" s="54"/>
      <c r="S34" s="97">
        <f t="shared" si="4"/>
        <v>0</v>
      </c>
      <c r="T34" s="54"/>
      <c r="U34" s="97">
        <f t="shared" si="4"/>
        <v>0</v>
      </c>
      <c r="V34" s="54"/>
      <c r="W34" s="97" t="e">
        <f t="shared" si="8"/>
        <v>#DIV/0!</v>
      </c>
      <c r="X34" s="54">
        <f t="shared" si="15"/>
        <v>35000</v>
      </c>
      <c r="Y34" s="97">
        <f t="shared" si="5"/>
        <v>0.7</v>
      </c>
    </row>
    <row r="35" spans="1:25" x14ac:dyDescent="0.25">
      <c r="A35" s="52" t="s">
        <v>21</v>
      </c>
      <c r="B35" s="62">
        <v>151751</v>
      </c>
      <c r="C35" s="54">
        <v>14629.963333333333</v>
      </c>
      <c r="D35" s="54">
        <f>C35*12</f>
        <v>175559.56</v>
      </c>
      <c r="E35" s="49">
        <f t="shared" si="12"/>
        <v>0.1568922774808732</v>
      </c>
      <c r="F35" s="54">
        <f>576+1343.81</f>
        <v>1919.81</v>
      </c>
      <c r="G35" s="54">
        <v>14583.81</v>
      </c>
      <c r="H35" s="54">
        <f>1013+2459.81</f>
        <v>3472.81</v>
      </c>
      <c r="I35" s="54">
        <f>4826+8501.81</f>
        <v>13327.81</v>
      </c>
      <c r="J35" s="54">
        <f>3660+13460.81</f>
        <v>17120.809999999998</v>
      </c>
      <c r="K35" s="54">
        <f>1457+5100.81</f>
        <v>6557.81</v>
      </c>
      <c r="L35" s="54">
        <f>1664+227.81</f>
        <v>1891.81</v>
      </c>
      <c r="M35" s="97">
        <f t="shared" si="3"/>
        <v>0.12931064534452011</v>
      </c>
      <c r="N35" s="54">
        <f>1514.99+34227.81-24000</f>
        <v>11742.799999999996</v>
      </c>
      <c r="O35" s="97">
        <f t="shared" si="7"/>
        <v>0.80265409642174967</v>
      </c>
      <c r="P35" s="54">
        <f>1412+40227.81-30000</f>
        <v>11639.809999999998</v>
      </c>
      <c r="Q35" s="97">
        <f t="shared" si="4"/>
        <v>0.79561443421252576</v>
      </c>
      <c r="R35" s="54">
        <f>512+221.81</f>
        <v>733.81</v>
      </c>
      <c r="S35" s="97">
        <f t="shared" si="4"/>
        <v>5.0158020446166532E-2</v>
      </c>
      <c r="T35" s="54">
        <f>4985+227.81</f>
        <v>5212.8100000000004</v>
      </c>
      <c r="U35" s="97">
        <f t="shared" si="4"/>
        <v>0.35631053073953939</v>
      </c>
      <c r="V35" s="54"/>
      <c r="W35" s="97">
        <f t="shared" si="8"/>
        <v>0</v>
      </c>
      <c r="X35" s="54">
        <f t="shared" si="15"/>
        <v>88203.9</v>
      </c>
      <c r="Y35" s="97">
        <f t="shared" si="5"/>
        <v>0.50241581831259996</v>
      </c>
    </row>
    <row r="36" spans="1:25" x14ac:dyDescent="0.25">
      <c r="A36" s="52" t="s">
        <v>24</v>
      </c>
      <c r="B36" s="74"/>
      <c r="C36" s="54"/>
      <c r="D36" s="54"/>
      <c r="E36" s="49"/>
      <c r="F36" s="54"/>
      <c r="G36" s="54"/>
      <c r="H36" s="54"/>
      <c r="I36" s="54"/>
      <c r="J36" s="54"/>
      <c r="K36" s="54"/>
      <c r="L36" s="54">
        <v>37000</v>
      </c>
      <c r="M36" s="97"/>
      <c r="N36" s="54"/>
      <c r="O36" s="97" t="e">
        <f t="shared" si="7"/>
        <v>#DIV/0!</v>
      </c>
      <c r="P36" s="54"/>
      <c r="Q36" s="97" t="e">
        <f t="shared" si="4"/>
        <v>#DIV/0!</v>
      </c>
      <c r="R36" s="54"/>
      <c r="S36" s="97" t="e">
        <f t="shared" si="4"/>
        <v>#DIV/0!</v>
      </c>
      <c r="T36" s="54"/>
      <c r="U36" s="97" t="e">
        <f t="shared" si="4"/>
        <v>#DIV/0!</v>
      </c>
      <c r="V36" s="54"/>
      <c r="W36" s="97"/>
      <c r="X36" s="54">
        <f t="shared" si="15"/>
        <v>37000</v>
      </c>
      <c r="Y36" s="97"/>
    </row>
    <row r="37" spans="1:25" x14ac:dyDescent="0.25">
      <c r="A37" s="52" t="s">
        <v>203</v>
      </c>
      <c r="B37" s="74"/>
      <c r="C37" s="54"/>
      <c r="D37" s="54"/>
      <c r="E37" s="49"/>
      <c r="F37" s="54"/>
      <c r="G37" s="54"/>
      <c r="H37" s="54"/>
      <c r="I37" s="54"/>
      <c r="J37" s="54"/>
      <c r="K37" s="54"/>
      <c r="L37" s="54"/>
      <c r="M37" s="97"/>
      <c r="N37" s="54"/>
      <c r="O37" s="97"/>
      <c r="P37" s="54"/>
      <c r="Q37" s="97"/>
      <c r="R37" s="54">
        <v>24810</v>
      </c>
      <c r="S37" s="97"/>
      <c r="T37" s="54">
        <f>24390-100</f>
        <v>24290</v>
      </c>
      <c r="U37" s="97"/>
      <c r="V37" s="54"/>
      <c r="W37" s="97"/>
      <c r="X37" s="54">
        <f>R37</f>
        <v>24810</v>
      </c>
      <c r="Y37" s="97"/>
    </row>
    <row r="38" spans="1:25" x14ac:dyDescent="0.25">
      <c r="A38" s="69" t="s">
        <v>26</v>
      </c>
      <c r="B38" s="70">
        <v>319400</v>
      </c>
      <c r="C38" s="56">
        <v>20916.666666666664</v>
      </c>
      <c r="D38" s="56">
        <f>SUM(D39:D44)</f>
        <v>251000</v>
      </c>
      <c r="E38" s="49">
        <f t="shared" ref="E38:E51" si="17">IFERROR((D38/B38)-1,0)</f>
        <v>-0.21415153412648713</v>
      </c>
      <c r="F38" s="56">
        <f>SUM(F39:F44)</f>
        <v>0</v>
      </c>
      <c r="G38" s="56">
        <f t="shared" ref="G38:X38" si="18">SUM(G39:G44)</f>
        <v>71951</v>
      </c>
      <c r="H38" s="56">
        <f t="shared" si="18"/>
        <v>31110.97</v>
      </c>
      <c r="I38" s="56">
        <f t="shared" si="18"/>
        <v>45624.959999999999</v>
      </c>
      <c r="J38" s="56">
        <f t="shared" si="18"/>
        <v>36870</v>
      </c>
      <c r="K38" s="56">
        <f t="shared" si="18"/>
        <v>37680</v>
      </c>
      <c r="L38" s="56">
        <f t="shared" si="18"/>
        <v>27800</v>
      </c>
      <c r="M38" s="95">
        <f t="shared" si="3"/>
        <v>1.3290836653386455</v>
      </c>
      <c r="N38" s="56">
        <f t="shared" si="18"/>
        <v>40500</v>
      </c>
      <c r="O38" s="95">
        <f t="shared" si="7"/>
        <v>1.9362549800796816</v>
      </c>
      <c r="P38" s="56">
        <f t="shared" si="18"/>
        <v>70094.97</v>
      </c>
      <c r="Q38" s="95">
        <f t="shared" si="4"/>
        <v>3.3511539442231082</v>
      </c>
      <c r="R38" s="56">
        <f t="shared" si="18"/>
        <v>39596</v>
      </c>
      <c r="S38" s="95">
        <f t="shared" si="4"/>
        <v>1.8930358565737053</v>
      </c>
      <c r="T38" s="56">
        <f t="shared" si="18"/>
        <v>49745</v>
      </c>
      <c r="U38" s="95">
        <f t="shared" si="4"/>
        <v>2.3782470119521917</v>
      </c>
      <c r="V38" s="56">
        <f t="shared" si="18"/>
        <v>0</v>
      </c>
      <c r="W38" s="95">
        <f t="shared" ref="W38:W48" si="19">V38/I38</f>
        <v>0</v>
      </c>
      <c r="X38" s="56">
        <f t="shared" si="18"/>
        <v>450972.9</v>
      </c>
      <c r="Y38" s="95">
        <f t="shared" ref="Y38:Y49" si="20">X38/D38</f>
        <v>1.7967047808764942</v>
      </c>
    </row>
    <row r="39" spans="1:25" x14ac:dyDescent="0.25">
      <c r="A39" s="52" t="s">
        <v>111</v>
      </c>
      <c r="B39" s="62">
        <v>20000</v>
      </c>
      <c r="C39" s="54">
        <v>2500</v>
      </c>
      <c r="D39" s="54">
        <v>30000</v>
      </c>
      <c r="E39" s="49">
        <f t="shared" si="17"/>
        <v>0.5</v>
      </c>
      <c r="F39" s="54">
        <v>0</v>
      </c>
      <c r="G39" s="54">
        <v>48861</v>
      </c>
      <c r="H39" s="54">
        <v>450</v>
      </c>
      <c r="I39" s="54">
        <v>13150</v>
      </c>
      <c r="J39" s="54">
        <v>1200</v>
      </c>
      <c r="K39" s="54">
        <v>1350</v>
      </c>
      <c r="L39" s="54">
        <v>1350</v>
      </c>
      <c r="M39" s="97">
        <f t="shared" si="3"/>
        <v>0.54</v>
      </c>
      <c r="N39" s="54">
        <v>1800</v>
      </c>
      <c r="O39" s="97">
        <f t="shared" si="7"/>
        <v>0.72</v>
      </c>
      <c r="P39" s="54">
        <v>1250</v>
      </c>
      <c r="Q39" s="97">
        <f t="shared" si="4"/>
        <v>0.5</v>
      </c>
      <c r="R39" s="54">
        <v>3656</v>
      </c>
      <c r="S39" s="97">
        <f t="shared" si="4"/>
        <v>1.4623999999999999</v>
      </c>
      <c r="T39" s="54">
        <v>2500</v>
      </c>
      <c r="U39" s="97">
        <f t="shared" si="4"/>
        <v>1</v>
      </c>
      <c r="V39" s="54"/>
      <c r="W39" s="97">
        <f t="shared" si="19"/>
        <v>0</v>
      </c>
      <c r="X39" s="54">
        <f t="shared" ref="X39:X44" si="21">V39+T39+R39+P39+N39+L39+K39+J39+I39+H39+G39+F39</f>
        <v>75567</v>
      </c>
      <c r="Y39" s="97">
        <f t="shared" si="20"/>
        <v>2.5188999999999999</v>
      </c>
    </row>
    <row r="40" spans="1:25" x14ac:dyDescent="0.25">
      <c r="A40" s="52" t="s">
        <v>156</v>
      </c>
      <c r="B40" s="62">
        <v>25000</v>
      </c>
      <c r="C40" s="54">
        <v>1250</v>
      </c>
      <c r="D40" s="54">
        <v>15000</v>
      </c>
      <c r="E40" s="49">
        <f t="shared" si="17"/>
        <v>-0.4</v>
      </c>
      <c r="F40" s="54">
        <v>0</v>
      </c>
      <c r="G40" s="54"/>
      <c r="H40" s="54">
        <v>4900.97</v>
      </c>
      <c r="I40" s="54">
        <v>6350</v>
      </c>
      <c r="J40" s="54">
        <v>9150</v>
      </c>
      <c r="K40" s="54">
        <v>10820</v>
      </c>
      <c r="L40" s="54"/>
      <c r="M40" s="97">
        <f t="shared" si="3"/>
        <v>0</v>
      </c>
      <c r="N40" s="54">
        <v>8180</v>
      </c>
      <c r="O40" s="97">
        <f t="shared" si="7"/>
        <v>6.5439999999999996</v>
      </c>
      <c r="P40" s="54">
        <v>820</v>
      </c>
      <c r="Q40" s="97">
        <f t="shared" si="4"/>
        <v>0.65600000000000003</v>
      </c>
      <c r="R40" s="54">
        <v>4800</v>
      </c>
      <c r="S40" s="97">
        <f t="shared" si="4"/>
        <v>3.84</v>
      </c>
      <c r="T40" s="54">
        <f>7815-240</f>
        <v>7575</v>
      </c>
      <c r="U40" s="97">
        <f t="shared" si="4"/>
        <v>6.06</v>
      </c>
      <c r="V40" s="54"/>
      <c r="W40" s="97">
        <f t="shared" si="19"/>
        <v>0</v>
      </c>
      <c r="X40" s="54">
        <f t="shared" si="21"/>
        <v>52595.97</v>
      </c>
      <c r="Y40" s="97">
        <f t="shared" si="20"/>
        <v>3.5063979999999999</v>
      </c>
    </row>
    <row r="41" spans="1:25" x14ac:dyDescent="0.25">
      <c r="A41" s="52" t="s">
        <v>109</v>
      </c>
      <c r="B41" s="62">
        <v>0</v>
      </c>
      <c r="C41" s="54">
        <v>1666.6666666666667</v>
      </c>
      <c r="D41" s="54">
        <v>20000</v>
      </c>
      <c r="E41" s="49">
        <f t="shared" si="17"/>
        <v>0</v>
      </c>
      <c r="F41" s="54">
        <v>0</v>
      </c>
      <c r="G41" s="54"/>
      <c r="H41" s="54"/>
      <c r="I41" s="54"/>
      <c r="J41" s="54"/>
      <c r="K41" s="54"/>
      <c r="L41" s="54"/>
      <c r="M41" s="97">
        <f t="shared" si="3"/>
        <v>0</v>
      </c>
      <c r="N41" s="54"/>
      <c r="O41" s="97">
        <f t="shared" si="7"/>
        <v>0</v>
      </c>
      <c r="P41" s="54">
        <v>32820</v>
      </c>
      <c r="Q41" s="97">
        <f t="shared" si="4"/>
        <v>19.692</v>
      </c>
      <c r="R41" s="54"/>
      <c r="S41" s="97">
        <f t="shared" si="4"/>
        <v>0</v>
      </c>
      <c r="T41" s="54"/>
      <c r="U41" s="97">
        <f t="shared" si="4"/>
        <v>0</v>
      </c>
      <c r="V41" s="54"/>
      <c r="W41" s="97" t="e">
        <f t="shared" si="19"/>
        <v>#DIV/0!</v>
      </c>
      <c r="X41" s="54">
        <f t="shared" si="21"/>
        <v>32820</v>
      </c>
      <c r="Y41" s="97">
        <f t="shared" si="20"/>
        <v>1.641</v>
      </c>
    </row>
    <row r="42" spans="1:25" x14ac:dyDescent="0.25">
      <c r="A42" s="52" t="s">
        <v>120</v>
      </c>
      <c r="B42" s="62">
        <v>0</v>
      </c>
      <c r="C42" s="54">
        <v>0</v>
      </c>
      <c r="D42" s="54">
        <v>0</v>
      </c>
      <c r="E42" s="49">
        <f t="shared" si="17"/>
        <v>0</v>
      </c>
      <c r="F42" s="54">
        <v>0</v>
      </c>
      <c r="G42" s="54"/>
      <c r="H42" s="54"/>
      <c r="I42" s="54"/>
      <c r="J42" s="54"/>
      <c r="K42" s="54"/>
      <c r="L42" s="54"/>
      <c r="M42" s="97" t="e">
        <f t="shared" si="3"/>
        <v>#DIV/0!</v>
      </c>
      <c r="N42" s="54"/>
      <c r="O42" s="97" t="e">
        <f t="shared" si="7"/>
        <v>#DIV/0!</v>
      </c>
      <c r="P42" s="54"/>
      <c r="Q42" s="97" t="e">
        <f t="shared" si="4"/>
        <v>#DIV/0!</v>
      </c>
      <c r="R42" s="54"/>
      <c r="S42" s="97" t="e">
        <f t="shared" si="4"/>
        <v>#DIV/0!</v>
      </c>
      <c r="T42" s="54">
        <v>6260</v>
      </c>
      <c r="U42" s="97" t="e">
        <f t="shared" si="4"/>
        <v>#DIV/0!</v>
      </c>
      <c r="V42" s="54"/>
      <c r="W42" s="97" t="e">
        <f t="shared" si="19"/>
        <v>#DIV/0!</v>
      </c>
      <c r="X42" s="54">
        <f t="shared" si="21"/>
        <v>6260</v>
      </c>
      <c r="Y42" s="97" t="e">
        <f t="shared" si="20"/>
        <v>#DIV/0!</v>
      </c>
    </row>
    <row r="43" spans="1:25" x14ac:dyDescent="0.25">
      <c r="A43" s="52" t="s">
        <v>182</v>
      </c>
      <c r="B43" s="62">
        <v>11000</v>
      </c>
      <c r="C43" s="54">
        <v>833.33333333333337</v>
      </c>
      <c r="D43" s="54">
        <v>10000</v>
      </c>
      <c r="E43" s="49">
        <f t="shared" si="17"/>
        <v>-9.0909090909090939E-2</v>
      </c>
      <c r="F43" s="54">
        <v>0</v>
      </c>
      <c r="G43" s="54"/>
      <c r="H43" s="54"/>
      <c r="I43" s="54"/>
      <c r="J43" s="54"/>
      <c r="K43" s="54"/>
      <c r="L43" s="54"/>
      <c r="M43" s="97">
        <f t="shared" si="3"/>
        <v>0</v>
      </c>
      <c r="N43" s="54"/>
      <c r="O43" s="97">
        <f t="shared" si="7"/>
        <v>0</v>
      </c>
      <c r="P43" s="54"/>
      <c r="Q43" s="97">
        <f t="shared" si="4"/>
        <v>0</v>
      </c>
      <c r="R43" s="54"/>
      <c r="S43" s="97">
        <f t="shared" si="4"/>
        <v>0</v>
      </c>
      <c r="T43" s="54"/>
      <c r="U43" s="97">
        <f t="shared" si="4"/>
        <v>0</v>
      </c>
      <c r="V43" s="54"/>
      <c r="W43" s="97" t="e">
        <f t="shared" si="19"/>
        <v>#DIV/0!</v>
      </c>
      <c r="X43" s="54">
        <f t="shared" si="21"/>
        <v>0</v>
      </c>
      <c r="Y43" s="97">
        <f t="shared" si="20"/>
        <v>0</v>
      </c>
    </row>
    <row r="44" spans="1:25" x14ac:dyDescent="0.25">
      <c r="A44" s="61" t="s">
        <v>178</v>
      </c>
      <c r="B44" s="62">
        <v>263400</v>
      </c>
      <c r="C44" s="54">
        <v>14666.666666666666</v>
      </c>
      <c r="D44" s="54">
        <v>176000</v>
      </c>
      <c r="E44" s="49">
        <f t="shared" si="17"/>
        <v>-0.33181473044798782</v>
      </c>
      <c r="F44" s="54">
        <v>0</v>
      </c>
      <c r="G44" s="54">
        <v>23090</v>
      </c>
      <c r="H44" s="54">
        <v>25760</v>
      </c>
      <c r="I44" s="54">
        <v>26124.959999999999</v>
      </c>
      <c r="J44" s="54">
        <v>26520</v>
      </c>
      <c r="K44" s="54">
        <v>25510</v>
      </c>
      <c r="L44" s="54">
        <v>26450</v>
      </c>
      <c r="M44" s="97">
        <f t="shared" si="3"/>
        <v>1.803409090909091</v>
      </c>
      <c r="N44" s="54">
        <v>30520</v>
      </c>
      <c r="O44" s="97">
        <f t="shared" si="7"/>
        <v>2.080909090909091</v>
      </c>
      <c r="P44" s="54">
        <v>35204.97</v>
      </c>
      <c r="Q44" s="97">
        <f t="shared" si="4"/>
        <v>2.4003388636363638</v>
      </c>
      <c r="R44" s="54">
        <v>31140</v>
      </c>
      <c r="S44" s="97">
        <f t="shared" si="4"/>
        <v>2.1231818181818181</v>
      </c>
      <c r="T44" s="54">
        <v>33410</v>
      </c>
      <c r="U44" s="97">
        <f t="shared" si="4"/>
        <v>2.2779545454545453</v>
      </c>
      <c r="V44" s="54"/>
      <c r="W44" s="97">
        <f t="shared" si="19"/>
        <v>0</v>
      </c>
      <c r="X44" s="54">
        <f t="shared" si="21"/>
        <v>283729.93</v>
      </c>
      <c r="Y44" s="97">
        <f t="shared" si="20"/>
        <v>1.612101875</v>
      </c>
    </row>
    <row r="45" spans="1:25" x14ac:dyDescent="0.25">
      <c r="A45" s="69" t="s">
        <v>161</v>
      </c>
      <c r="B45" s="70">
        <v>62980.729999999996</v>
      </c>
      <c r="C45" s="56">
        <v>6666.6666666666661</v>
      </c>
      <c r="D45" s="56">
        <f>SUM(D46:D50)</f>
        <v>80000</v>
      </c>
      <c r="E45" s="49">
        <f t="shared" si="17"/>
        <v>0.2702297988606992</v>
      </c>
      <c r="F45" s="56">
        <f>SUM(F46:F50)</f>
        <v>0</v>
      </c>
      <c r="G45" s="56">
        <f t="shared" ref="G45:X45" si="22">SUM(G46:G50)</f>
        <v>0</v>
      </c>
      <c r="H45" s="56">
        <f t="shared" si="22"/>
        <v>0</v>
      </c>
      <c r="I45" s="56">
        <f t="shared" si="22"/>
        <v>24643.4</v>
      </c>
      <c r="J45" s="56">
        <f t="shared" si="22"/>
        <v>1440</v>
      </c>
      <c r="K45" s="56">
        <f t="shared" si="22"/>
        <v>65820</v>
      </c>
      <c r="L45" s="56">
        <f t="shared" si="22"/>
        <v>0</v>
      </c>
      <c r="M45" s="95">
        <f t="shared" si="3"/>
        <v>0</v>
      </c>
      <c r="N45" s="56">
        <f t="shared" si="22"/>
        <v>0</v>
      </c>
      <c r="O45" s="95">
        <f t="shared" si="7"/>
        <v>0</v>
      </c>
      <c r="P45" s="56">
        <f t="shared" si="22"/>
        <v>0</v>
      </c>
      <c r="Q45" s="95">
        <f t="shared" si="4"/>
        <v>0</v>
      </c>
      <c r="R45" s="56">
        <f t="shared" si="22"/>
        <v>1714</v>
      </c>
      <c r="S45" s="95">
        <f t="shared" si="4"/>
        <v>0.25710000000000005</v>
      </c>
      <c r="T45" s="56">
        <f t="shared" si="22"/>
        <v>0</v>
      </c>
      <c r="U45" s="95">
        <f t="shared" si="4"/>
        <v>0</v>
      </c>
      <c r="V45" s="56">
        <f t="shared" si="22"/>
        <v>0</v>
      </c>
      <c r="W45" s="95">
        <f t="shared" si="19"/>
        <v>0</v>
      </c>
      <c r="X45" s="56">
        <f t="shared" si="22"/>
        <v>93617.4</v>
      </c>
      <c r="Y45" s="95">
        <f t="shared" si="20"/>
        <v>1.1702174999999999</v>
      </c>
    </row>
    <row r="46" spans="1:25" x14ac:dyDescent="0.25">
      <c r="A46" s="52" t="s">
        <v>9</v>
      </c>
      <c r="B46" s="62">
        <v>0</v>
      </c>
      <c r="C46" s="54">
        <v>416.66666666666669</v>
      </c>
      <c r="D46" s="63">
        <v>5000</v>
      </c>
      <c r="E46" s="49">
        <f t="shared" si="17"/>
        <v>0</v>
      </c>
      <c r="F46" s="63">
        <v>0</v>
      </c>
      <c r="G46" s="63"/>
      <c r="H46" s="63"/>
      <c r="I46" s="63"/>
      <c r="J46" s="63"/>
      <c r="K46" s="63"/>
      <c r="L46" s="63"/>
      <c r="M46" s="98">
        <f t="shared" si="3"/>
        <v>0</v>
      </c>
      <c r="N46" s="63"/>
      <c r="O46" s="98">
        <f t="shared" si="7"/>
        <v>0</v>
      </c>
      <c r="P46" s="63"/>
      <c r="Q46" s="98">
        <f t="shared" si="4"/>
        <v>0</v>
      </c>
      <c r="R46" s="63">
        <v>1714</v>
      </c>
      <c r="S46" s="98">
        <f t="shared" si="4"/>
        <v>4.1135999999999999</v>
      </c>
      <c r="T46" s="63"/>
      <c r="U46" s="98">
        <f t="shared" si="4"/>
        <v>0</v>
      </c>
      <c r="V46" s="63"/>
      <c r="W46" s="98" t="e">
        <f t="shared" si="19"/>
        <v>#DIV/0!</v>
      </c>
      <c r="X46" s="63">
        <f>V46+T46+R46+P46+N46+L46+K46+J46+I46+H46+G46+F46</f>
        <v>1714</v>
      </c>
      <c r="Y46" s="98">
        <f t="shared" si="20"/>
        <v>0.34279999999999999</v>
      </c>
    </row>
    <row r="47" spans="1:25" x14ac:dyDescent="0.25">
      <c r="A47" s="52" t="s">
        <v>10</v>
      </c>
      <c r="B47" s="62">
        <v>14470.73</v>
      </c>
      <c r="C47" s="54">
        <v>1666.6666666666667</v>
      </c>
      <c r="D47" s="63">
        <v>20000</v>
      </c>
      <c r="E47" s="49">
        <f t="shared" si="17"/>
        <v>0.38210028105009219</v>
      </c>
      <c r="F47" s="63">
        <v>0</v>
      </c>
      <c r="G47" s="63"/>
      <c r="H47" s="63"/>
      <c r="I47" s="63">
        <v>24643.4</v>
      </c>
      <c r="J47" s="63"/>
      <c r="K47" s="63"/>
      <c r="L47" s="63"/>
      <c r="M47" s="98">
        <f t="shared" si="3"/>
        <v>0</v>
      </c>
      <c r="N47" s="63"/>
      <c r="O47" s="98">
        <f t="shared" si="7"/>
        <v>0</v>
      </c>
      <c r="P47" s="63"/>
      <c r="Q47" s="98">
        <f t="shared" si="4"/>
        <v>0</v>
      </c>
      <c r="R47" s="63"/>
      <c r="S47" s="98">
        <f t="shared" si="4"/>
        <v>0</v>
      </c>
      <c r="T47" s="63"/>
      <c r="U47" s="98">
        <f t="shared" si="4"/>
        <v>0</v>
      </c>
      <c r="V47" s="63"/>
      <c r="W47" s="98">
        <f t="shared" si="19"/>
        <v>0</v>
      </c>
      <c r="X47" s="63">
        <f>V47+T47+R47+P47+N47+L47+K47+J47+I47+H47+G47+F47</f>
        <v>24643.4</v>
      </c>
      <c r="Y47" s="98">
        <f t="shared" si="20"/>
        <v>1.23217</v>
      </c>
    </row>
    <row r="48" spans="1:25" x14ac:dyDescent="0.25">
      <c r="A48" s="52" t="s">
        <v>11</v>
      </c>
      <c r="B48" s="62">
        <v>48510</v>
      </c>
      <c r="C48" s="54">
        <v>4583.333333333333</v>
      </c>
      <c r="D48" s="63">
        <v>55000</v>
      </c>
      <c r="E48" s="49">
        <f t="shared" si="17"/>
        <v>0.13378684807256236</v>
      </c>
      <c r="F48" s="63">
        <v>0</v>
      </c>
      <c r="G48" s="63"/>
      <c r="H48" s="63"/>
      <c r="I48" s="63"/>
      <c r="J48" s="63">
        <v>1440</v>
      </c>
      <c r="K48" s="63">
        <v>65820</v>
      </c>
      <c r="L48" s="63"/>
      <c r="M48" s="98">
        <f t="shared" si="3"/>
        <v>0</v>
      </c>
      <c r="N48" s="63"/>
      <c r="O48" s="98">
        <f t="shared" si="7"/>
        <v>0</v>
      </c>
      <c r="P48" s="63"/>
      <c r="Q48" s="98">
        <f t="shared" si="4"/>
        <v>0</v>
      </c>
      <c r="R48" s="63"/>
      <c r="S48" s="98">
        <f t="shared" si="4"/>
        <v>0</v>
      </c>
      <c r="T48" s="63"/>
      <c r="U48" s="98">
        <f t="shared" si="4"/>
        <v>0</v>
      </c>
      <c r="V48" s="63"/>
      <c r="W48" s="98" t="e">
        <f t="shared" si="19"/>
        <v>#DIV/0!</v>
      </c>
      <c r="X48" s="63">
        <f>V48+T48+R48+P48+N48+L48+K48+J48+I48+H48+G48+F48</f>
        <v>67260</v>
      </c>
      <c r="Y48" s="98">
        <f t="shared" si="20"/>
        <v>1.2229090909090909</v>
      </c>
    </row>
    <row r="49" spans="1:25" x14ac:dyDescent="0.25">
      <c r="A49" s="52" t="s">
        <v>12</v>
      </c>
      <c r="B49" s="74">
        <v>0</v>
      </c>
      <c r="C49" s="54">
        <v>0</v>
      </c>
      <c r="D49" s="63">
        <v>0</v>
      </c>
      <c r="E49" s="49">
        <f t="shared" si="17"/>
        <v>0</v>
      </c>
      <c r="F49" s="63">
        <v>0</v>
      </c>
      <c r="G49" s="63"/>
      <c r="H49" s="63"/>
      <c r="I49" s="63"/>
      <c r="J49" s="63"/>
      <c r="K49" s="63"/>
      <c r="L49" s="63"/>
      <c r="M49" s="98"/>
      <c r="N49" s="63"/>
      <c r="O49" s="98" t="e">
        <f t="shared" si="7"/>
        <v>#DIV/0!</v>
      </c>
      <c r="P49" s="63"/>
      <c r="Q49" s="98" t="e">
        <f t="shared" si="4"/>
        <v>#DIV/0!</v>
      </c>
      <c r="R49" s="63"/>
      <c r="S49" s="98" t="e">
        <f t="shared" si="4"/>
        <v>#DIV/0!</v>
      </c>
      <c r="T49" s="63"/>
      <c r="U49" s="98" t="e">
        <f t="shared" si="4"/>
        <v>#DIV/0!</v>
      </c>
      <c r="V49" s="63"/>
      <c r="W49" s="98"/>
      <c r="X49" s="63">
        <f>V49+T49+R49+P49+N49+L49+K49+J49+I49+H49+G49+F49</f>
        <v>0</v>
      </c>
      <c r="Y49" s="98" t="e">
        <f t="shared" si="20"/>
        <v>#DIV/0!</v>
      </c>
    </row>
    <row r="50" spans="1:25" x14ac:dyDescent="0.25">
      <c r="A50" s="52"/>
      <c r="B50" s="74"/>
      <c r="C50" s="54"/>
      <c r="D50" s="54"/>
      <c r="E50" s="49">
        <f t="shared" si="17"/>
        <v>0</v>
      </c>
      <c r="F50" s="54"/>
      <c r="G50" s="54"/>
      <c r="H50" s="54"/>
      <c r="I50" s="54"/>
      <c r="J50" s="54"/>
      <c r="K50" s="54"/>
      <c r="L50" s="54"/>
      <c r="M50" s="97"/>
      <c r="N50" s="54"/>
      <c r="O50" s="97"/>
      <c r="P50" s="54"/>
      <c r="Q50" s="97"/>
      <c r="R50" s="54"/>
      <c r="S50" s="97"/>
      <c r="T50" s="54"/>
      <c r="U50" s="97"/>
      <c r="V50" s="54"/>
      <c r="W50" s="97"/>
      <c r="X50" s="54"/>
      <c r="Y50" s="97"/>
    </row>
    <row r="51" spans="1:25" x14ac:dyDescent="0.25">
      <c r="A51" s="75" t="s">
        <v>27</v>
      </c>
      <c r="B51" s="57">
        <v>3871348.5561493332</v>
      </c>
      <c r="C51" s="57">
        <v>368800.98722222215</v>
      </c>
      <c r="D51" s="57">
        <f>D53+D93+D115+D134+D156+D153+D163+D109</f>
        <v>4457853.9266666668</v>
      </c>
      <c r="E51" s="49">
        <f t="shared" si="17"/>
        <v>0.15149898336736323</v>
      </c>
      <c r="F51" s="57">
        <f>F53+F93+F115+F134+F156+F153+F163+F109</f>
        <v>369313.91</v>
      </c>
      <c r="G51" s="57">
        <f t="shared" ref="G51:X51" si="23">G53+G93+G115+G134+G156+G153+G163+G109</f>
        <v>317232.33</v>
      </c>
      <c r="H51" s="57">
        <f t="shared" si="23"/>
        <v>319676.00000000006</v>
      </c>
      <c r="I51" s="57">
        <f t="shared" si="23"/>
        <v>454860.23</v>
      </c>
      <c r="J51" s="57">
        <f t="shared" si="23"/>
        <v>424057.8</v>
      </c>
      <c r="K51" s="57">
        <f t="shared" si="23"/>
        <v>443345.81000000006</v>
      </c>
      <c r="L51" s="57">
        <f t="shared" si="23"/>
        <v>315786.18000000005</v>
      </c>
      <c r="M51" s="99">
        <f t="shared" si="3"/>
        <v>0.85625090751105326</v>
      </c>
      <c r="N51" s="57">
        <f t="shared" si="23"/>
        <v>402002.19</v>
      </c>
      <c r="O51" s="99">
        <f t="shared" si="7"/>
        <v>1.0900247123193636</v>
      </c>
      <c r="P51" s="57">
        <f t="shared" si="23"/>
        <v>394968.66</v>
      </c>
      <c r="Q51" s="99">
        <f t="shared" si="4"/>
        <v>1.0709533696611566</v>
      </c>
      <c r="R51" s="57">
        <f t="shared" si="23"/>
        <v>378845.6100000001</v>
      </c>
      <c r="S51" s="99">
        <f t="shared" si="4"/>
        <v>1.0272358890724052</v>
      </c>
      <c r="T51" s="57">
        <f t="shared" si="23"/>
        <v>357834.99000000005</v>
      </c>
      <c r="U51" s="99">
        <f t="shared" si="4"/>
        <v>0.97026581380701538</v>
      </c>
      <c r="V51" s="57">
        <f t="shared" si="23"/>
        <v>0</v>
      </c>
      <c r="W51" s="99">
        <f>V51/I51</f>
        <v>0</v>
      </c>
      <c r="X51" s="57">
        <f t="shared" si="23"/>
        <v>4177923.7099999995</v>
      </c>
      <c r="Y51" s="99">
        <f>X51/D51</f>
        <v>0.93720516166038137</v>
      </c>
    </row>
    <row r="52" spans="1:25" x14ac:dyDescent="0.25">
      <c r="A52" s="77"/>
      <c r="B52" s="78"/>
      <c r="C52" s="55"/>
      <c r="D52" s="55"/>
      <c r="E52" s="49"/>
      <c r="F52" s="55"/>
      <c r="G52" s="55"/>
      <c r="H52" s="55"/>
      <c r="I52" s="55"/>
      <c r="J52" s="55"/>
      <c r="K52" s="55"/>
      <c r="L52" s="55"/>
      <c r="M52" s="96"/>
      <c r="N52" s="55"/>
      <c r="O52" s="96"/>
      <c r="P52" s="55"/>
      <c r="Q52" s="96"/>
      <c r="R52" s="55"/>
      <c r="S52" s="96"/>
      <c r="T52" s="55"/>
      <c r="U52" s="96"/>
      <c r="V52" s="55"/>
      <c r="W52" s="96"/>
      <c r="X52" s="55"/>
      <c r="Y52" s="96"/>
    </row>
    <row r="53" spans="1:25" x14ac:dyDescent="0.25">
      <c r="A53" s="79" t="s">
        <v>28</v>
      </c>
      <c r="B53" s="76">
        <v>2429005.0699999998</v>
      </c>
      <c r="C53" s="57">
        <v>218524.43388888886</v>
      </c>
      <c r="D53" s="57">
        <f>D54+D67+D69+D77+D84</f>
        <v>2642535.2866666666</v>
      </c>
      <c r="E53" s="49">
        <f t="shared" ref="E53:E84" si="24">IFERROR((D53/B53)-1,0)</f>
        <v>8.790851007431888E-2</v>
      </c>
      <c r="F53" s="57">
        <f>F54+F67+F69+F77+F84</f>
        <v>210913.74</v>
      </c>
      <c r="G53" s="57">
        <f t="shared" ref="G53:X53" si="25">G54+G67+G69+G77+G84</f>
        <v>201603.92000000004</v>
      </c>
      <c r="H53" s="57">
        <f t="shared" si="25"/>
        <v>173976.21000000002</v>
      </c>
      <c r="I53" s="57">
        <f t="shared" si="25"/>
        <v>257532.87000000002</v>
      </c>
      <c r="J53" s="57">
        <f t="shared" si="25"/>
        <v>237061.59000000003</v>
      </c>
      <c r="K53" s="57">
        <f t="shared" si="25"/>
        <v>211749.69000000003</v>
      </c>
      <c r="L53" s="57">
        <f t="shared" si="25"/>
        <v>203164.79</v>
      </c>
      <c r="M53" s="99">
        <f t="shared" si="3"/>
        <v>0.92971200695708645</v>
      </c>
      <c r="N53" s="57">
        <f t="shared" si="25"/>
        <v>205283.4</v>
      </c>
      <c r="O53" s="99">
        <f t="shared" si="7"/>
        <v>0.93940707840652082</v>
      </c>
      <c r="P53" s="57">
        <f t="shared" si="25"/>
        <v>215233.94</v>
      </c>
      <c r="Q53" s="99">
        <f t="shared" si="4"/>
        <v>0.98494221524645642</v>
      </c>
      <c r="R53" s="57">
        <f t="shared" si="25"/>
        <v>203508.72000000003</v>
      </c>
      <c r="S53" s="99">
        <f t="shared" si="4"/>
        <v>0.93128588130092704</v>
      </c>
      <c r="T53" s="57">
        <f t="shared" si="25"/>
        <v>203934.15000000002</v>
      </c>
      <c r="U53" s="99">
        <f t="shared" si="4"/>
        <v>0.93323271165041699</v>
      </c>
      <c r="V53" s="57">
        <f t="shared" si="25"/>
        <v>0</v>
      </c>
      <c r="W53" s="99">
        <f>V53/I53</f>
        <v>0</v>
      </c>
      <c r="X53" s="57">
        <f t="shared" si="25"/>
        <v>2323963.0199999996</v>
      </c>
      <c r="Y53" s="99">
        <f t="shared" ref="Y53:Y84" si="26">X53/D53</f>
        <v>0.87944446067605064</v>
      </c>
    </row>
    <row r="54" spans="1:25" x14ac:dyDescent="0.25">
      <c r="A54" s="80" t="s">
        <v>29</v>
      </c>
      <c r="B54" s="81">
        <v>1812646.8399999999</v>
      </c>
      <c r="C54" s="58">
        <v>139740</v>
      </c>
      <c r="D54" s="58">
        <f>SUM(D55:D66)</f>
        <v>1676880</v>
      </c>
      <c r="E54" s="49">
        <f t="shared" si="24"/>
        <v>-7.4899774740456282E-2</v>
      </c>
      <c r="F54" s="58">
        <f>SUM(F55:F66)</f>
        <v>131082.55000000002</v>
      </c>
      <c r="G54" s="58">
        <f t="shared" ref="G54:X54" si="27">SUM(G55:G66)</f>
        <v>124029.08000000003</v>
      </c>
      <c r="H54" s="58">
        <f t="shared" si="27"/>
        <v>121207.96</v>
      </c>
      <c r="I54" s="58">
        <f t="shared" si="27"/>
        <v>184778.84</v>
      </c>
      <c r="J54" s="58">
        <f t="shared" si="27"/>
        <v>152127</v>
      </c>
      <c r="K54" s="58">
        <f t="shared" si="27"/>
        <v>128180.31000000003</v>
      </c>
      <c r="L54" s="58">
        <f t="shared" si="27"/>
        <v>132603.19</v>
      </c>
      <c r="M54" s="100">
        <f t="shared" si="3"/>
        <v>0.948927937598397</v>
      </c>
      <c r="N54" s="58">
        <f t="shared" si="27"/>
        <v>125197.12</v>
      </c>
      <c r="O54" s="100">
        <f t="shared" si="7"/>
        <v>0.89592901102046651</v>
      </c>
      <c r="P54" s="58">
        <f t="shared" si="27"/>
        <v>136667.49</v>
      </c>
      <c r="Q54" s="100">
        <f t="shared" si="4"/>
        <v>0.97801266638042073</v>
      </c>
      <c r="R54" s="58">
        <f t="shared" si="27"/>
        <v>126757.08000000002</v>
      </c>
      <c r="S54" s="100">
        <f t="shared" si="4"/>
        <v>0.90709231429798209</v>
      </c>
      <c r="T54" s="58">
        <f t="shared" si="27"/>
        <v>148927.91000000003</v>
      </c>
      <c r="U54" s="100">
        <f t="shared" si="4"/>
        <v>1.0657500357807359</v>
      </c>
      <c r="V54" s="58">
        <f t="shared" si="27"/>
        <v>0</v>
      </c>
      <c r="W54" s="100">
        <f>V54/I54</f>
        <v>0</v>
      </c>
      <c r="X54" s="58">
        <f t="shared" si="27"/>
        <v>1511558.53</v>
      </c>
      <c r="Y54" s="100">
        <f t="shared" si="26"/>
        <v>0.90141126973903918</v>
      </c>
    </row>
    <row r="55" spans="1:25" x14ac:dyDescent="0.25">
      <c r="A55" s="82" t="s">
        <v>30</v>
      </c>
      <c r="B55" s="83">
        <v>927366.84</v>
      </c>
      <c r="C55" s="54">
        <v>77200</v>
      </c>
      <c r="D55" s="54">
        <v>926400</v>
      </c>
      <c r="E55" s="49">
        <f t="shared" si="24"/>
        <v>-1.0425647740434085E-3</v>
      </c>
      <c r="F55" s="54">
        <f>71727.22-2736.34</f>
        <v>68990.880000000005</v>
      </c>
      <c r="G55" s="54">
        <f>69058.22-2127.34</f>
        <v>66930.880000000005</v>
      </c>
      <c r="H55" s="54">
        <f>73316.83-2172.22</f>
        <v>71144.61</v>
      </c>
      <c r="I55" s="54">
        <f>86116.68-6120.85</f>
        <v>79995.829999999987</v>
      </c>
      <c r="J55" s="54">
        <f>91504.18-2747.07</f>
        <v>88757.109999999986</v>
      </c>
      <c r="K55" s="54">
        <f>74923.19-2412.65</f>
        <v>72510.540000000008</v>
      </c>
      <c r="L55" s="54">
        <f>71937.09</f>
        <v>71937.09</v>
      </c>
      <c r="M55" s="97">
        <f t="shared" si="3"/>
        <v>0.93182759067357512</v>
      </c>
      <c r="N55" s="54">
        <f>77157.54-1389.6</f>
        <v>75767.939999999988</v>
      </c>
      <c r="O55" s="97">
        <f t="shared" si="7"/>
        <v>0.98144999999999982</v>
      </c>
      <c r="P55" s="54">
        <f>71199.22-2309.07</f>
        <v>68890.149999999994</v>
      </c>
      <c r="Q55" s="97">
        <f t="shared" si="4"/>
        <v>0.89235945595854915</v>
      </c>
      <c r="R55" s="54">
        <f>84973.07-1976.96</f>
        <v>82996.11</v>
      </c>
      <c r="S55" s="97">
        <f t="shared" si="4"/>
        <v>1.0750791450777202</v>
      </c>
      <c r="T55" s="54">
        <f>92927.73-2326.5+240</f>
        <v>90841.23</v>
      </c>
      <c r="U55" s="97">
        <f t="shared" si="4"/>
        <v>1.1766998704663212</v>
      </c>
      <c r="V55" s="54"/>
      <c r="W55" s="97">
        <f>V55/I55</f>
        <v>0</v>
      </c>
      <c r="X55" s="54">
        <f t="shared" ref="X55:X66" si="28">V55+T55+R55+P55+N55+L55+K55+J55+I55+H55+G55+F55</f>
        <v>838762.37</v>
      </c>
      <c r="Y55" s="97">
        <f t="shared" si="26"/>
        <v>0.90539979490500866</v>
      </c>
    </row>
    <row r="56" spans="1:25" x14ac:dyDescent="0.25">
      <c r="A56" s="82" t="s">
        <v>110</v>
      </c>
      <c r="B56" s="83"/>
      <c r="C56" s="54"/>
      <c r="D56" s="54"/>
      <c r="E56" s="49">
        <f t="shared" si="24"/>
        <v>0</v>
      </c>
      <c r="F56" s="54"/>
      <c r="G56" s="54"/>
      <c r="H56" s="54"/>
      <c r="I56" s="54"/>
      <c r="J56" s="54"/>
      <c r="K56" s="54"/>
      <c r="L56" s="54"/>
      <c r="M56" s="97"/>
      <c r="N56" s="54"/>
      <c r="O56" s="97" t="e">
        <f t="shared" si="7"/>
        <v>#DIV/0!</v>
      </c>
      <c r="P56" s="54"/>
      <c r="Q56" s="97" t="e">
        <f t="shared" si="4"/>
        <v>#DIV/0!</v>
      </c>
      <c r="R56" s="54"/>
      <c r="S56" s="97" t="e">
        <f t="shared" si="4"/>
        <v>#DIV/0!</v>
      </c>
      <c r="T56" s="54"/>
      <c r="U56" s="97" t="e">
        <f t="shared" si="4"/>
        <v>#DIV/0!</v>
      </c>
      <c r="V56" s="54"/>
      <c r="W56" s="97"/>
      <c r="X56" s="54">
        <f t="shared" si="28"/>
        <v>0</v>
      </c>
      <c r="Y56" s="97" t="e">
        <f t="shared" si="26"/>
        <v>#DIV/0!</v>
      </c>
    </row>
    <row r="57" spans="1:25" x14ac:dyDescent="0.25">
      <c r="A57" s="82" t="s">
        <v>31</v>
      </c>
      <c r="B57" s="83">
        <v>17522.419999999998</v>
      </c>
      <c r="C57" s="54">
        <v>4900</v>
      </c>
      <c r="D57" s="54">
        <f t="shared" ref="D57:D66" si="29">C57*12</f>
        <v>58800</v>
      </c>
      <c r="E57" s="49">
        <f t="shared" si="24"/>
        <v>2.3557008678025069</v>
      </c>
      <c r="F57" s="54">
        <v>1233.3</v>
      </c>
      <c r="G57" s="54">
        <v>520</v>
      </c>
      <c r="H57" s="54">
        <v>487.55</v>
      </c>
      <c r="I57" s="54">
        <v>41222.75</v>
      </c>
      <c r="J57" s="54">
        <v>2690.55</v>
      </c>
      <c r="K57" s="54">
        <v>980</v>
      </c>
      <c r="L57" s="54">
        <v>284</v>
      </c>
      <c r="M57" s="97">
        <f t="shared" si="3"/>
        <v>5.7959183673469389E-2</v>
      </c>
      <c r="N57" s="54">
        <v>2000</v>
      </c>
      <c r="O57" s="97">
        <f t="shared" si="7"/>
        <v>0.40816326530612246</v>
      </c>
      <c r="P57" s="54">
        <v>1500</v>
      </c>
      <c r="Q57" s="97">
        <f t="shared" si="4"/>
        <v>0.30612244897959184</v>
      </c>
      <c r="R57" s="54"/>
      <c r="S57" s="97">
        <f t="shared" si="4"/>
        <v>0</v>
      </c>
      <c r="T57" s="54"/>
      <c r="U57" s="97">
        <f t="shared" si="4"/>
        <v>0</v>
      </c>
      <c r="V57" s="54"/>
      <c r="W57" s="97">
        <f t="shared" ref="W57:W88" si="30">V57/I57</f>
        <v>0</v>
      </c>
      <c r="X57" s="54">
        <f t="shared" si="28"/>
        <v>50918.150000000009</v>
      </c>
      <c r="Y57" s="97">
        <f t="shared" si="26"/>
        <v>0.86595493197278928</v>
      </c>
    </row>
    <row r="58" spans="1:25" x14ac:dyDescent="0.25">
      <c r="A58" s="82" t="s">
        <v>32</v>
      </c>
      <c r="B58" s="83">
        <v>403328.64</v>
      </c>
      <c r="C58" s="54">
        <v>28100</v>
      </c>
      <c r="D58" s="54">
        <f t="shared" si="29"/>
        <v>337200</v>
      </c>
      <c r="E58" s="49">
        <f t="shared" si="24"/>
        <v>-0.16395721365088289</v>
      </c>
      <c r="F58" s="54">
        <f>22795.44+7151.51+956.63-203.28</f>
        <v>30700.3</v>
      </c>
      <c r="G58" s="54">
        <f>20687.09-252.95+6490.06+915.06</f>
        <v>27839.260000000002</v>
      </c>
      <c r="H58" s="54">
        <f>20486+6426.98+920.89</f>
        <v>27833.87</v>
      </c>
      <c r="I58" s="54">
        <f>30035.51+9583.11+1286.44</f>
        <v>40905.06</v>
      </c>
      <c r="J58" s="54">
        <f>23573.75+7523.06+1120.6</f>
        <v>32217.41</v>
      </c>
      <c r="K58" s="54">
        <f>21682.9+6802.49+944.63</f>
        <v>29430.02</v>
      </c>
      <c r="L58" s="54">
        <f>22070.68+6924.16+932.83-72.71</f>
        <v>29854.960000000003</v>
      </c>
      <c r="M58" s="97">
        <f t="shared" si="3"/>
        <v>1.0624540925266905</v>
      </c>
      <c r="N58" s="54">
        <f>21048.07+6852.58+865.83-114.18</f>
        <v>28652.300000000003</v>
      </c>
      <c r="O58" s="97">
        <f t="shared" si="7"/>
        <v>1.0196548042704627</v>
      </c>
      <c r="P58" s="54">
        <f>23554.88+7389.79+1082.35</f>
        <v>32027.02</v>
      </c>
      <c r="Q58" s="97">
        <f t="shared" si="4"/>
        <v>1.1397516014234876</v>
      </c>
      <c r="R58" s="54">
        <f>21668.11+6797.86+1023.15</f>
        <v>29489.120000000003</v>
      </c>
      <c r="S58" s="97">
        <f t="shared" si="4"/>
        <v>1.0494348754448399</v>
      </c>
      <c r="T58" s="54">
        <f>24559.64+10777.02+1030.01</f>
        <v>36366.670000000006</v>
      </c>
      <c r="U58" s="97">
        <f t="shared" si="4"/>
        <v>1.2941875444839859</v>
      </c>
      <c r="V58" s="54"/>
      <c r="W58" s="97">
        <f t="shared" si="30"/>
        <v>0</v>
      </c>
      <c r="X58" s="54">
        <f t="shared" si="28"/>
        <v>345315.99</v>
      </c>
      <c r="Y58" s="97">
        <f t="shared" si="26"/>
        <v>1.0240687722419928</v>
      </c>
    </row>
    <row r="59" spans="1:25" x14ac:dyDescent="0.25">
      <c r="A59" s="82" t="s">
        <v>33</v>
      </c>
      <c r="B59" s="83">
        <v>13000</v>
      </c>
      <c r="C59" s="54">
        <v>1700</v>
      </c>
      <c r="D59" s="54">
        <f t="shared" si="29"/>
        <v>20400</v>
      </c>
      <c r="E59" s="49">
        <f t="shared" si="24"/>
        <v>0.56923076923076921</v>
      </c>
      <c r="F59" s="54"/>
      <c r="G59" s="54"/>
      <c r="H59" s="54"/>
      <c r="I59" s="54"/>
      <c r="J59" s="54"/>
      <c r="K59" s="54"/>
      <c r="L59" s="54"/>
      <c r="M59" s="97">
        <f t="shared" si="3"/>
        <v>0</v>
      </c>
      <c r="N59" s="54"/>
      <c r="O59" s="97">
        <f t="shared" si="7"/>
        <v>0</v>
      </c>
      <c r="P59" s="54"/>
      <c r="Q59" s="97">
        <f t="shared" si="4"/>
        <v>0</v>
      </c>
      <c r="R59" s="54"/>
      <c r="S59" s="97">
        <f t="shared" si="4"/>
        <v>0</v>
      </c>
      <c r="T59" s="54"/>
      <c r="U59" s="97">
        <f t="shared" si="4"/>
        <v>0</v>
      </c>
      <c r="V59" s="54"/>
      <c r="W59" s="97" t="e">
        <f t="shared" si="30"/>
        <v>#DIV/0!</v>
      </c>
      <c r="X59" s="54">
        <f t="shared" si="28"/>
        <v>0</v>
      </c>
      <c r="Y59" s="97">
        <f t="shared" si="26"/>
        <v>0</v>
      </c>
    </row>
    <row r="60" spans="1:25" x14ac:dyDescent="0.25">
      <c r="A60" s="82" t="s">
        <v>34</v>
      </c>
      <c r="B60" s="83">
        <v>147342.54</v>
      </c>
      <c r="C60" s="54">
        <v>2950</v>
      </c>
      <c r="D60" s="54">
        <f t="shared" si="29"/>
        <v>35400</v>
      </c>
      <c r="E60" s="49">
        <f t="shared" si="24"/>
        <v>-0.75974352009949064</v>
      </c>
      <c r="F60" s="54">
        <f>16496.77</f>
        <v>16496.77</v>
      </c>
      <c r="G60" s="54">
        <v>14763.24</v>
      </c>
      <c r="H60" s="54">
        <v>6863.64</v>
      </c>
      <c r="I60" s="54">
        <f>2002.5+5737.6</f>
        <v>7740.1</v>
      </c>
      <c r="J60" s="54">
        <f>4600.81</f>
        <v>4600.8100000000004</v>
      </c>
      <c r="K60" s="54">
        <v>9126.99</v>
      </c>
      <c r="L60" s="54">
        <v>15572.5</v>
      </c>
      <c r="M60" s="97">
        <f t="shared" si="3"/>
        <v>5.2788135593220336</v>
      </c>
      <c r="N60" s="54">
        <f>3916.16</f>
        <v>3916.16</v>
      </c>
      <c r="O60" s="97">
        <f t="shared" si="7"/>
        <v>1.3275118644067796</v>
      </c>
      <c r="P60" s="54">
        <f>19672.88</f>
        <v>19672.88</v>
      </c>
      <c r="Q60" s="97">
        <f t="shared" si="4"/>
        <v>6.6687728813559328</v>
      </c>
      <c r="R60" s="54"/>
      <c r="S60" s="97">
        <f t="shared" si="4"/>
        <v>0</v>
      </c>
      <c r="T60" s="54">
        <v>3144.6</v>
      </c>
      <c r="U60" s="97">
        <f t="shared" si="4"/>
        <v>1.0659661016949151</v>
      </c>
      <c r="V60" s="54"/>
      <c r="W60" s="97">
        <f t="shared" si="30"/>
        <v>0</v>
      </c>
      <c r="X60" s="54">
        <f t="shared" si="28"/>
        <v>101897.69</v>
      </c>
      <c r="Y60" s="97">
        <f t="shared" si="26"/>
        <v>2.8784658192090395</v>
      </c>
    </row>
    <row r="61" spans="1:25" x14ac:dyDescent="0.25">
      <c r="A61" s="82" t="s">
        <v>35</v>
      </c>
      <c r="B61" s="83">
        <v>97692.94</v>
      </c>
      <c r="C61" s="54">
        <v>8800</v>
      </c>
      <c r="D61" s="54">
        <f t="shared" si="29"/>
        <v>105600</v>
      </c>
      <c r="E61" s="49">
        <f t="shared" si="24"/>
        <v>8.0937885583134195E-2</v>
      </c>
      <c r="F61" s="54"/>
      <c r="G61" s="54"/>
      <c r="H61" s="54"/>
      <c r="I61" s="54"/>
      <c r="J61" s="54"/>
      <c r="K61" s="54"/>
      <c r="L61" s="54"/>
      <c r="M61" s="97">
        <f t="shared" si="3"/>
        <v>0</v>
      </c>
      <c r="N61" s="54"/>
      <c r="O61" s="97">
        <f t="shared" si="7"/>
        <v>0</v>
      </c>
      <c r="P61" s="54"/>
      <c r="Q61" s="97">
        <f t="shared" si="4"/>
        <v>0</v>
      </c>
      <c r="R61" s="54"/>
      <c r="S61" s="97">
        <f t="shared" si="4"/>
        <v>0</v>
      </c>
      <c r="T61" s="54"/>
      <c r="U61" s="97">
        <f t="shared" si="4"/>
        <v>0</v>
      </c>
      <c r="V61" s="54"/>
      <c r="W61" s="97" t="e">
        <f t="shared" si="30"/>
        <v>#DIV/0!</v>
      </c>
      <c r="X61" s="54">
        <f t="shared" si="28"/>
        <v>0</v>
      </c>
      <c r="Y61" s="97">
        <f t="shared" si="26"/>
        <v>0</v>
      </c>
    </row>
    <row r="62" spans="1:25" ht="15.75" customHeight="1" x14ac:dyDescent="0.25">
      <c r="A62" s="82" t="s">
        <v>106</v>
      </c>
      <c r="B62" s="83">
        <v>40325.67</v>
      </c>
      <c r="C62" s="54">
        <v>2500</v>
      </c>
      <c r="D62" s="54">
        <f t="shared" si="29"/>
        <v>30000</v>
      </c>
      <c r="E62" s="49">
        <f t="shared" si="24"/>
        <v>-0.25605699793704606</v>
      </c>
      <c r="F62" s="54">
        <f>415.38-363.06+1956.6-30</f>
        <v>1978.9199999999998</v>
      </c>
      <c r="G62" s="54">
        <f>260.22-356.58+1882.8-30</f>
        <v>1756.44</v>
      </c>
      <c r="H62" s="54">
        <f>405.24-363.06+1970.85-30</f>
        <v>1983.03</v>
      </c>
      <c r="I62" s="54">
        <f>435.99-363.06+1975.3-30</f>
        <v>2018.23</v>
      </c>
      <c r="J62" s="54">
        <f>455.79-354.12+1970.85-30</f>
        <v>2042.52</v>
      </c>
      <c r="K62" s="54">
        <f>347.92-373.44+1970.85-26</f>
        <v>1919.33</v>
      </c>
      <c r="L62" s="54">
        <f>465.61-257.52+1970.85-28</f>
        <v>2150.94</v>
      </c>
      <c r="M62" s="97">
        <f t="shared" si="3"/>
        <v>0.86037600000000003</v>
      </c>
      <c r="N62" s="54">
        <f>693.4-383.1+1970.85-28</f>
        <v>2253.1499999999996</v>
      </c>
      <c r="O62" s="97">
        <f t="shared" si="7"/>
        <v>0.90125999999999984</v>
      </c>
      <c r="P62" s="54">
        <f>693.11-363.78+1970.85-28</f>
        <v>2272.1799999999998</v>
      </c>
      <c r="Q62" s="97">
        <f t="shared" si="4"/>
        <v>0.9088719999999999</v>
      </c>
      <c r="R62" s="54">
        <f>703.24-595.5+1970.85-28</f>
        <v>2050.59</v>
      </c>
      <c r="S62" s="97">
        <f t="shared" si="4"/>
        <v>0.82023600000000008</v>
      </c>
      <c r="T62" s="54">
        <f>604.11+585.84+4428.5-30</f>
        <v>5588.45</v>
      </c>
      <c r="U62" s="97">
        <f t="shared" si="4"/>
        <v>2.2353800000000001</v>
      </c>
      <c r="V62" s="54"/>
      <c r="W62" s="97">
        <f t="shared" si="30"/>
        <v>0</v>
      </c>
      <c r="X62" s="54">
        <f t="shared" si="28"/>
        <v>26013.779999999995</v>
      </c>
      <c r="Y62" s="97">
        <f t="shared" si="26"/>
        <v>0.86712599999999984</v>
      </c>
    </row>
    <row r="63" spans="1:25" x14ac:dyDescent="0.25">
      <c r="A63" s="82" t="s">
        <v>107</v>
      </c>
      <c r="B63" s="83">
        <v>109434.62</v>
      </c>
      <c r="C63" s="54">
        <v>8390</v>
      </c>
      <c r="D63" s="54">
        <f t="shared" si="29"/>
        <v>100680</v>
      </c>
      <c r="E63" s="49">
        <f t="shared" si="24"/>
        <v>-7.9998632973733552E-2</v>
      </c>
      <c r="F63" s="54">
        <f>7133.94-30</f>
        <v>7103.94</v>
      </c>
      <c r="G63" s="54">
        <f>7696-30</f>
        <v>7666</v>
      </c>
      <c r="H63" s="54">
        <f>8372-30</f>
        <v>8342</v>
      </c>
      <c r="I63" s="54">
        <f>8424-30</f>
        <v>8394</v>
      </c>
      <c r="J63" s="54">
        <f>6916-30</f>
        <v>6886</v>
      </c>
      <c r="K63" s="54">
        <f>7785.06-26</f>
        <v>7759.06</v>
      </c>
      <c r="L63" s="54">
        <f>7410-28</f>
        <v>7382</v>
      </c>
      <c r="M63" s="97">
        <f t="shared" si="3"/>
        <v>0.87985697258641238</v>
      </c>
      <c r="N63" s="54">
        <f>7904-28</f>
        <v>7876</v>
      </c>
      <c r="O63" s="97">
        <f t="shared" si="7"/>
        <v>0.93873659117997621</v>
      </c>
      <c r="P63" s="54">
        <f>7540-28</f>
        <v>7512</v>
      </c>
      <c r="Q63" s="97">
        <f t="shared" si="4"/>
        <v>0.89535160905840283</v>
      </c>
      <c r="R63" s="54">
        <f>7696-28</f>
        <v>7668</v>
      </c>
      <c r="S63" s="97">
        <f t="shared" si="4"/>
        <v>0.91394517282479137</v>
      </c>
      <c r="T63" s="54">
        <f>8164-30</f>
        <v>8134</v>
      </c>
      <c r="U63" s="97">
        <f t="shared" si="4"/>
        <v>0.96948748510131111</v>
      </c>
      <c r="V63" s="54"/>
      <c r="W63" s="97">
        <f t="shared" si="30"/>
        <v>0</v>
      </c>
      <c r="X63" s="54">
        <f t="shared" si="28"/>
        <v>84723</v>
      </c>
      <c r="Y63" s="97">
        <f t="shared" si="26"/>
        <v>0.84150774731823597</v>
      </c>
    </row>
    <row r="64" spans="1:25" x14ac:dyDescent="0.25">
      <c r="A64" s="82" t="s">
        <v>36</v>
      </c>
      <c r="B64" s="83">
        <v>4000</v>
      </c>
      <c r="C64" s="54">
        <v>700</v>
      </c>
      <c r="D64" s="54">
        <f t="shared" si="29"/>
        <v>8400</v>
      </c>
      <c r="E64" s="49">
        <f t="shared" si="24"/>
        <v>1.1000000000000001</v>
      </c>
      <c r="F64" s="54"/>
      <c r="G64" s="54"/>
      <c r="H64" s="54"/>
      <c r="I64" s="54"/>
      <c r="J64" s="54">
        <f>1970.85-30</f>
        <v>1940.85</v>
      </c>
      <c r="K64" s="54"/>
      <c r="L64" s="54"/>
      <c r="M64" s="97">
        <f t="shared" si="3"/>
        <v>0</v>
      </c>
      <c r="N64" s="54"/>
      <c r="O64" s="97">
        <f t="shared" si="7"/>
        <v>0</v>
      </c>
      <c r="P64" s="54"/>
      <c r="Q64" s="97">
        <f t="shared" si="4"/>
        <v>0</v>
      </c>
      <c r="R64" s="54"/>
      <c r="S64" s="97">
        <f t="shared" si="4"/>
        <v>0</v>
      </c>
      <c r="T64" s="54"/>
      <c r="U64" s="97">
        <f t="shared" si="4"/>
        <v>0</v>
      </c>
      <c r="V64" s="54"/>
      <c r="W64" s="97" t="e">
        <f t="shared" si="30"/>
        <v>#DIV/0!</v>
      </c>
      <c r="X64" s="54">
        <f t="shared" si="28"/>
        <v>1940.85</v>
      </c>
      <c r="Y64" s="97">
        <f t="shared" si="26"/>
        <v>0.23105357142857141</v>
      </c>
    </row>
    <row r="65" spans="1:25" x14ac:dyDescent="0.25">
      <c r="A65" s="82" t="s">
        <v>37</v>
      </c>
      <c r="B65" s="83">
        <v>11227.5</v>
      </c>
      <c r="C65" s="54">
        <v>1200</v>
      </c>
      <c r="D65" s="54">
        <f t="shared" si="29"/>
        <v>14400</v>
      </c>
      <c r="E65" s="49">
        <f t="shared" si="24"/>
        <v>0.28256513026052099</v>
      </c>
      <c r="F65" s="54">
        <f>1943.12-530</f>
        <v>1413.12</v>
      </c>
      <c r="G65" s="54">
        <f>1943.12-555.18</f>
        <v>1387.94</v>
      </c>
      <c r="H65" s="54">
        <f>1943.12-555.18</f>
        <v>1387.94</v>
      </c>
      <c r="I65" s="54">
        <f>1961.74-624.19</f>
        <v>1337.55</v>
      </c>
      <c r="J65" s="54">
        <f>1337.55+8722-233.12</f>
        <v>9826.4299999999985</v>
      </c>
      <c r="K65" s="54">
        <f>1337.55+1951.5</f>
        <v>3289.05</v>
      </c>
      <c r="L65" s="54">
        <f>1337.55+1043.46-124.63</f>
        <v>2256.38</v>
      </c>
      <c r="M65" s="97">
        <f t="shared" si="3"/>
        <v>1.8803166666666669</v>
      </c>
      <c r="N65" s="54">
        <f>1324.85+241.4</f>
        <v>1566.25</v>
      </c>
      <c r="O65" s="97">
        <f t="shared" si="7"/>
        <v>1.3052083333333333</v>
      </c>
      <c r="P65" s="54">
        <f>1387.94+240</f>
        <v>1627.94</v>
      </c>
      <c r="Q65" s="97">
        <f t="shared" si="4"/>
        <v>1.3566166666666668</v>
      </c>
      <c r="R65" s="54">
        <v>1387.94</v>
      </c>
      <c r="S65" s="97">
        <f t="shared" si="4"/>
        <v>1.1566166666666666</v>
      </c>
      <c r="T65" s="54">
        <f>1387.94+299.7</f>
        <v>1687.64</v>
      </c>
      <c r="U65" s="97">
        <f t="shared" si="4"/>
        <v>1.4063666666666668</v>
      </c>
      <c r="V65" s="54"/>
      <c r="W65" s="97">
        <f t="shared" si="30"/>
        <v>0</v>
      </c>
      <c r="X65" s="54">
        <f t="shared" si="28"/>
        <v>27168.179999999993</v>
      </c>
      <c r="Y65" s="97">
        <f t="shared" si="26"/>
        <v>1.8866791666666662</v>
      </c>
    </row>
    <row r="66" spans="1:25" x14ac:dyDescent="0.25">
      <c r="A66" s="82" t="s">
        <v>38</v>
      </c>
      <c r="B66" s="83">
        <v>41405.67</v>
      </c>
      <c r="C66" s="54">
        <v>3300</v>
      </c>
      <c r="D66" s="54">
        <f t="shared" si="29"/>
        <v>39600</v>
      </c>
      <c r="E66" s="49">
        <f t="shared" si="24"/>
        <v>-4.3609244820817961E-2</v>
      </c>
      <c r="F66" s="54">
        <f>3165.32</f>
        <v>3165.32</v>
      </c>
      <c r="G66" s="54">
        <v>3165.32</v>
      </c>
      <c r="H66" s="54">
        <v>3165.32</v>
      </c>
      <c r="I66" s="54">
        <v>3165.32</v>
      </c>
      <c r="J66" s="54">
        <v>3165.32</v>
      </c>
      <c r="K66" s="54">
        <v>3165.32</v>
      </c>
      <c r="L66" s="54">
        <v>3165.32</v>
      </c>
      <c r="M66" s="97">
        <f t="shared" si="3"/>
        <v>0.95918787878787881</v>
      </c>
      <c r="N66" s="54">
        <v>3165.32</v>
      </c>
      <c r="O66" s="97">
        <f t="shared" si="7"/>
        <v>0.95918787878787881</v>
      </c>
      <c r="P66" s="54">
        <v>3165.32</v>
      </c>
      <c r="Q66" s="97">
        <f t="shared" si="4"/>
        <v>0.95918787878787881</v>
      </c>
      <c r="R66" s="54">
        <v>3165.32</v>
      </c>
      <c r="S66" s="97">
        <f t="shared" si="4"/>
        <v>0.95918787878787881</v>
      </c>
      <c r="T66" s="54">
        <v>3165.32</v>
      </c>
      <c r="U66" s="97">
        <f t="shared" si="4"/>
        <v>0.95918787878787881</v>
      </c>
      <c r="V66" s="54"/>
      <c r="W66" s="97">
        <f t="shared" si="30"/>
        <v>0</v>
      </c>
      <c r="X66" s="54">
        <f t="shared" si="28"/>
        <v>34818.520000000004</v>
      </c>
      <c r="Y66" s="97">
        <f t="shared" si="26"/>
        <v>0.87925555555555568</v>
      </c>
    </row>
    <row r="67" spans="1:25" x14ac:dyDescent="0.25">
      <c r="A67" s="80" t="s">
        <v>39</v>
      </c>
      <c r="B67" s="81">
        <v>41979.65</v>
      </c>
      <c r="C67" s="58">
        <v>3900</v>
      </c>
      <c r="D67" s="58">
        <f>SUM(D68)</f>
        <v>46800</v>
      </c>
      <c r="E67" s="49">
        <f t="shared" si="24"/>
        <v>0.11482587396512356</v>
      </c>
      <c r="F67" s="58">
        <f>SUM(F68)</f>
        <v>3550.24</v>
      </c>
      <c r="G67" s="58">
        <f t="shared" ref="G67:X67" si="31">SUM(G68)</f>
        <v>3550.24</v>
      </c>
      <c r="H67" s="58">
        <f t="shared" si="31"/>
        <v>3550.24</v>
      </c>
      <c r="I67" s="58">
        <f t="shared" si="31"/>
        <v>3595.45</v>
      </c>
      <c r="J67" s="58">
        <f t="shared" si="31"/>
        <v>3595.45</v>
      </c>
      <c r="K67" s="58">
        <f t="shared" si="31"/>
        <v>3595.45</v>
      </c>
      <c r="L67" s="58">
        <f t="shared" si="31"/>
        <v>3595.45</v>
      </c>
      <c r="M67" s="100">
        <f t="shared" si="3"/>
        <v>0.92191025641025637</v>
      </c>
      <c r="N67" s="58">
        <f t="shared" si="31"/>
        <v>3595.45</v>
      </c>
      <c r="O67" s="100">
        <f t="shared" si="7"/>
        <v>0.92191025641025637</v>
      </c>
      <c r="P67" s="58">
        <f t="shared" si="31"/>
        <v>3595.45</v>
      </c>
      <c r="Q67" s="100">
        <f t="shared" si="4"/>
        <v>0.92191025641025637</v>
      </c>
      <c r="R67" s="58">
        <f t="shared" si="31"/>
        <v>3803.36</v>
      </c>
      <c r="S67" s="100">
        <f t="shared" si="4"/>
        <v>0.97522051282051281</v>
      </c>
      <c r="T67" s="58">
        <f t="shared" si="31"/>
        <v>3903.36</v>
      </c>
      <c r="U67" s="100">
        <f t="shared" si="4"/>
        <v>1.0008615384615385</v>
      </c>
      <c r="V67" s="58">
        <f t="shared" si="31"/>
        <v>0</v>
      </c>
      <c r="W67" s="100">
        <f t="shared" si="30"/>
        <v>0</v>
      </c>
      <c r="X67" s="58">
        <f t="shared" si="31"/>
        <v>39930.14</v>
      </c>
      <c r="Y67" s="100">
        <f t="shared" si="26"/>
        <v>0.8532081196581196</v>
      </c>
    </row>
    <row r="68" spans="1:25" x14ac:dyDescent="0.25">
      <c r="A68" s="82" t="s">
        <v>39</v>
      </c>
      <c r="B68" s="74">
        <v>41979.65</v>
      </c>
      <c r="C68" s="54">
        <v>3900</v>
      </c>
      <c r="D68" s="54">
        <f>C68*12</f>
        <v>46800</v>
      </c>
      <c r="E68" s="49">
        <f t="shared" si="24"/>
        <v>0.11482587396512356</v>
      </c>
      <c r="F68" s="54">
        <v>3550.24</v>
      </c>
      <c r="G68" s="54">
        <v>3550.24</v>
      </c>
      <c r="H68" s="54">
        <v>3550.24</v>
      </c>
      <c r="I68" s="54">
        <v>3595.45</v>
      </c>
      <c r="J68" s="54">
        <v>3595.45</v>
      </c>
      <c r="K68" s="54">
        <v>3595.45</v>
      </c>
      <c r="L68" s="54">
        <v>3595.45</v>
      </c>
      <c r="M68" s="97">
        <f t="shared" si="3"/>
        <v>0.92191025641025637</v>
      </c>
      <c r="N68" s="54">
        <v>3595.45</v>
      </c>
      <c r="O68" s="97">
        <f t="shared" si="7"/>
        <v>0.92191025641025637</v>
      </c>
      <c r="P68" s="54">
        <v>3595.45</v>
      </c>
      <c r="Q68" s="97">
        <f t="shared" si="4"/>
        <v>0.92191025641025637</v>
      </c>
      <c r="R68" s="54">
        <v>3803.36</v>
      </c>
      <c r="S68" s="97">
        <f t="shared" si="4"/>
        <v>0.97522051282051281</v>
      </c>
      <c r="T68" s="54">
        <v>3903.36</v>
      </c>
      <c r="U68" s="97">
        <f t="shared" si="4"/>
        <v>1.0008615384615385</v>
      </c>
      <c r="V68" s="54"/>
      <c r="W68" s="97">
        <f t="shared" si="30"/>
        <v>0</v>
      </c>
      <c r="X68" s="54">
        <f>V68+T68+R68+P68+N68+L68+K68+J68+I68+H68+G68+F68</f>
        <v>39930.14</v>
      </c>
      <c r="Y68" s="97">
        <f t="shared" si="26"/>
        <v>0.8532081196581196</v>
      </c>
    </row>
    <row r="69" spans="1:25" x14ac:dyDescent="0.25">
      <c r="A69" s="80" t="s">
        <v>40</v>
      </c>
      <c r="B69" s="81">
        <v>250878.58000000002</v>
      </c>
      <c r="C69" s="58">
        <v>25292.954999999998</v>
      </c>
      <c r="D69" s="58">
        <f>SUM(D70:D76)</f>
        <v>303515.46000000002</v>
      </c>
      <c r="E69" s="49">
        <f t="shared" si="24"/>
        <v>0.20981017988861383</v>
      </c>
      <c r="F69" s="58">
        <f>SUM(F70:F76)</f>
        <v>27413.180000000004</v>
      </c>
      <c r="G69" s="58">
        <f t="shared" ref="G69:X69" si="32">SUM(G70:G76)</f>
        <v>24143.91</v>
      </c>
      <c r="H69" s="58">
        <f t="shared" si="32"/>
        <v>31903.739999999998</v>
      </c>
      <c r="I69" s="58">
        <f t="shared" si="32"/>
        <v>15391.150000000001</v>
      </c>
      <c r="J69" s="58">
        <f t="shared" si="32"/>
        <v>30831.119999999995</v>
      </c>
      <c r="K69" s="58">
        <f t="shared" si="32"/>
        <v>20958.519999999997</v>
      </c>
      <c r="L69" s="58">
        <f t="shared" si="32"/>
        <v>19726.11</v>
      </c>
      <c r="M69" s="100">
        <f t="shared" si="3"/>
        <v>0.77990531355470338</v>
      </c>
      <c r="N69" s="58">
        <f t="shared" si="32"/>
        <v>17838.52</v>
      </c>
      <c r="O69" s="100">
        <f t="shared" si="7"/>
        <v>0.70527623205750378</v>
      </c>
      <c r="P69" s="58">
        <f t="shared" si="32"/>
        <v>22086.29</v>
      </c>
      <c r="Q69" s="100">
        <f t="shared" si="4"/>
        <v>0.87321904459166599</v>
      </c>
      <c r="R69" s="58">
        <f t="shared" si="32"/>
        <v>17191.489999999998</v>
      </c>
      <c r="S69" s="100">
        <f t="shared" si="4"/>
        <v>0.67969480039006902</v>
      </c>
      <c r="T69" s="58">
        <f t="shared" si="32"/>
        <v>16800.88</v>
      </c>
      <c r="U69" s="100">
        <f t="shared" si="4"/>
        <v>0.6642513696007446</v>
      </c>
      <c r="V69" s="58">
        <f t="shared" si="32"/>
        <v>0</v>
      </c>
      <c r="W69" s="100">
        <f t="shared" si="30"/>
        <v>0</v>
      </c>
      <c r="X69" s="58">
        <f t="shared" si="32"/>
        <v>244284.91</v>
      </c>
      <c r="Y69" s="100">
        <f t="shared" si="26"/>
        <v>0.80485162106734198</v>
      </c>
    </row>
    <row r="70" spans="1:25" x14ac:dyDescent="0.25">
      <c r="A70" s="82" t="s">
        <v>41</v>
      </c>
      <c r="B70" s="74">
        <v>86378.58</v>
      </c>
      <c r="C70" s="54">
        <v>6644.8300000000008</v>
      </c>
      <c r="D70" s="54">
        <f>C70*12</f>
        <v>79737.960000000006</v>
      </c>
      <c r="E70" s="49">
        <f t="shared" si="24"/>
        <v>-7.687808713688038E-2</v>
      </c>
      <c r="F70" s="54">
        <v>7401.26</v>
      </c>
      <c r="G70" s="54">
        <v>6745.14</v>
      </c>
      <c r="H70" s="54">
        <v>6787.98</v>
      </c>
      <c r="I70" s="54">
        <v>6569.07</v>
      </c>
      <c r="J70" s="54">
        <v>7027.82</v>
      </c>
      <c r="K70" s="54">
        <v>7658.07</v>
      </c>
      <c r="L70" s="54">
        <v>7658.07</v>
      </c>
      <c r="M70" s="97">
        <f t="shared" si="3"/>
        <v>1.1524854661443555</v>
      </c>
      <c r="N70" s="54">
        <v>7411.08</v>
      </c>
      <c r="O70" s="97">
        <f t="shared" si="7"/>
        <v>1.1153152149866887</v>
      </c>
      <c r="P70" s="54">
        <v>7658.07</v>
      </c>
      <c r="Q70" s="97">
        <f t="shared" si="4"/>
        <v>1.1524854661443555</v>
      </c>
      <c r="R70" s="54">
        <v>7658.07</v>
      </c>
      <c r="S70" s="97">
        <f t="shared" si="4"/>
        <v>1.1524854661443555</v>
      </c>
      <c r="T70" s="54">
        <v>7857.31</v>
      </c>
      <c r="U70" s="97">
        <f t="shared" si="4"/>
        <v>1.1824696794349892</v>
      </c>
      <c r="V70" s="54"/>
      <c r="W70" s="97">
        <f t="shared" si="30"/>
        <v>0</v>
      </c>
      <c r="X70" s="54">
        <f t="shared" ref="X70:X76" si="33">V70+T70+R70+P70+N70+L70+K70+J70+I70+H70+G70+F70</f>
        <v>80431.939999999988</v>
      </c>
      <c r="Y70" s="97">
        <f t="shared" si="26"/>
        <v>1.0087032575200066</v>
      </c>
    </row>
    <row r="71" spans="1:25" x14ac:dyDescent="0.25">
      <c r="A71" s="82" t="s">
        <v>42</v>
      </c>
      <c r="B71" s="74">
        <v>110000</v>
      </c>
      <c r="C71" s="54">
        <v>10913.706666666667</v>
      </c>
      <c r="D71" s="54">
        <f t="shared" ref="D71:D76" si="34">C71*12</f>
        <v>130964.48000000001</v>
      </c>
      <c r="E71" s="49">
        <f t="shared" si="24"/>
        <v>0.19058618181818199</v>
      </c>
      <c r="F71" s="54">
        <v>12064.5</v>
      </c>
      <c r="G71" s="54">
        <v>8556</v>
      </c>
      <c r="H71" s="54">
        <v>12374.14</v>
      </c>
      <c r="I71" s="54">
        <v>2330.6999999999998</v>
      </c>
      <c r="J71" s="54">
        <v>7688.53</v>
      </c>
      <c r="K71" s="54">
        <v>6893.7</v>
      </c>
      <c r="L71" s="54">
        <f>6419.13-4904.18</f>
        <v>1514.9499999999998</v>
      </c>
      <c r="M71" s="97">
        <f t="shared" si="3"/>
        <v>0.13881168390085616</v>
      </c>
      <c r="N71" s="54">
        <v>1599.17</v>
      </c>
      <c r="O71" s="97">
        <f t="shared" si="7"/>
        <v>0.1465285854607295</v>
      </c>
      <c r="P71" s="54">
        <v>1708.61</v>
      </c>
      <c r="Q71" s="97">
        <f t="shared" si="4"/>
        <v>0.15655634260526211</v>
      </c>
      <c r="R71" s="54">
        <v>1587.46</v>
      </c>
      <c r="S71" s="97">
        <f t="shared" si="4"/>
        <v>0.14545562277649635</v>
      </c>
      <c r="T71" s="54">
        <v>1646.45</v>
      </c>
      <c r="U71" s="97">
        <f t="shared" si="4"/>
        <v>0.15086075247273154</v>
      </c>
      <c r="V71" s="54"/>
      <c r="W71" s="97">
        <f t="shared" si="30"/>
        <v>0</v>
      </c>
      <c r="X71" s="54">
        <f t="shared" si="33"/>
        <v>57964.21</v>
      </c>
      <c r="Y71" s="97">
        <f t="shared" si="26"/>
        <v>0.4425948929053129</v>
      </c>
    </row>
    <row r="72" spans="1:25" x14ac:dyDescent="0.25">
      <c r="A72" s="82" t="s">
        <v>43</v>
      </c>
      <c r="B72" s="74">
        <v>24000</v>
      </c>
      <c r="C72" s="54">
        <v>2292.2566666666667</v>
      </c>
      <c r="D72" s="54">
        <f t="shared" si="34"/>
        <v>27507.08</v>
      </c>
      <c r="E72" s="49">
        <f t="shared" si="24"/>
        <v>0.14612833333333342</v>
      </c>
      <c r="F72" s="54">
        <v>1074.8699999999999</v>
      </c>
      <c r="G72" s="54">
        <v>1913.8</v>
      </c>
      <c r="H72" s="54">
        <v>3779.98</v>
      </c>
      <c r="I72" s="54">
        <v>2633.54</v>
      </c>
      <c r="J72" s="54">
        <v>4884.1899999999996</v>
      </c>
      <c r="K72" s="54">
        <v>2221.89</v>
      </c>
      <c r="L72" s="54">
        <v>2213.0100000000002</v>
      </c>
      <c r="M72" s="97">
        <f t="shared" ref="M72:M135" si="35">L72/C72</f>
        <v>0.96542853694394326</v>
      </c>
      <c r="N72" s="54">
        <v>4032.61</v>
      </c>
      <c r="O72" s="97">
        <f t="shared" si="7"/>
        <v>1.7592314415052417</v>
      </c>
      <c r="P72" s="54">
        <v>2527.65</v>
      </c>
      <c r="Q72" s="97">
        <f t="shared" si="4"/>
        <v>1.102690652733769</v>
      </c>
      <c r="R72" s="54">
        <v>3546.41</v>
      </c>
      <c r="S72" s="97">
        <f t="shared" si="4"/>
        <v>1.5471260490026566</v>
      </c>
      <c r="T72" s="54">
        <v>2293.7800000000002</v>
      </c>
      <c r="U72" s="97">
        <f t="shared" si="4"/>
        <v>1.0006645561797183</v>
      </c>
      <c r="V72" s="54"/>
      <c r="W72" s="97">
        <f t="shared" si="30"/>
        <v>0</v>
      </c>
      <c r="X72" s="54">
        <f t="shared" si="33"/>
        <v>31121.73</v>
      </c>
      <c r="Y72" s="97">
        <f t="shared" si="26"/>
        <v>1.1314079865983593</v>
      </c>
    </row>
    <row r="73" spans="1:25" x14ac:dyDescent="0.25">
      <c r="A73" s="82" t="s">
        <v>44</v>
      </c>
      <c r="B73" s="74">
        <v>5000</v>
      </c>
      <c r="C73" s="54">
        <v>548.52666666666664</v>
      </c>
      <c r="D73" s="54">
        <f t="shared" si="34"/>
        <v>6582.32</v>
      </c>
      <c r="E73" s="49">
        <f t="shared" si="24"/>
        <v>0.31646399999999986</v>
      </c>
      <c r="F73" s="54">
        <f>469.7+30+20+136.97</f>
        <v>656.67000000000007</v>
      </c>
      <c r="G73" s="54">
        <f>465.5+30</f>
        <v>495.5</v>
      </c>
      <c r="H73" s="54">
        <f>470.58+104.92+895.9</f>
        <v>1471.4</v>
      </c>
      <c r="I73" s="54">
        <f>737.7+18.9</f>
        <v>756.6</v>
      </c>
      <c r="J73" s="54">
        <v>470.36</v>
      </c>
      <c r="K73" s="54">
        <f>471.54+41.65+71.7</f>
        <v>584.8900000000001</v>
      </c>
      <c r="L73" s="54">
        <v>462.66</v>
      </c>
      <c r="M73" s="97">
        <f t="shared" si="35"/>
        <v>0.84345944894809133</v>
      </c>
      <c r="N73" s="54">
        <f>471.92+618.34</f>
        <v>1090.26</v>
      </c>
      <c r="O73" s="97">
        <f t="shared" si="7"/>
        <v>1.9876153088880517</v>
      </c>
      <c r="P73" s="54">
        <f>461.9+569.88</f>
        <v>1031.78</v>
      </c>
      <c r="Q73" s="97">
        <f t="shared" si="4"/>
        <v>1.8810024429076679</v>
      </c>
      <c r="R73" s="54">
        <f>479.88+7.5</f>
        <v>487.38</v>
      </c>
      <c r="S73" s="97">
        <f t="shared" si="4"/>
        <v>0.88852562622297304</v>
      </c>
      <c r="T73" s="54">
        <f>477.38+151.55+15+817</f>
        <v>1460.93</v>
      </c>
      <c r="U73" s="97">
        <f t="shared" si="4"/>
        <v>2.6633709695061927</v>
      </c>
      <c r="V73" s="54"/>
      <c r="W73" s="97">
        <f t="shared" si="30"/>
        <v>0</v>
      </c>
      <c r="X73" s="54">
        <f t="shared" si="33"/>
        <v>8968.43</v>
      </c>
      <c r="Y73" s="97">
        <f t="shared" si="26"/>
        <v>1.3625028865202544</v>
      </c>
    </row>
    <row r="74" spans="1:25" x14ac:dyDescent="0.25">
      <c r="A74" s="82" t="s">
        <v>45</v>
      </c>
      <c r="B74" s="74">
        <v>5000</v>
      </c>
      <c r="C74" s="54">
        <v>884.04499999999996</v>
      </c>
      <c r="D74" s="54">
        <f t="shared" si="34"/>
        <v>10608.539999999999</v>
      </c>
      <c r="E74" s="49">
        <f t="shared" si="24"/>
        <v>1.1217079999999999</v>
      </c>
      <c r="F74" s="54">
        <f>2520.91-532.5</f>
        <v>1988.4099999999999</v>
      </c>
      <c r="G74" s="54">
        <v>344.9</v>
      </c>
      <c r="H74" s="54"/>
      <c r="I74" s="54">
        <v>329.25</v>
      </c>
      <c r="J74" s="54">
        <v>1273.8</v>
      </c>
      <c r="K74" s="54">
        <v>215.21</v>
      </c>
      <c r="L74" s="54">
        <v>887.88</v>
      </c>
      <c r="M74" s="97">
        <f t="shared" si="35"/>
        <v>1.0043380144675893</v>
      </c>
      <c r="N74" s="54">
        <v>751.7</v>
      </c>
      <c r="O74" s="97">
        <f t="shared" si="7"/>
        <v>0.85029608221300956</v>
      </c>
      <c r="P74" s="54">
        <v>580.39</v>
      </c>
      <c r="Q74" s="97">
        <f t="shared" si="4"/>
        <v>0.65651635380551898</v>
      </c>
      <c r="R74" s="54">
        <v>869.35</v>
      </c>
      <c r="S74" s="97">
        <f t="shared" si="4"/>
        <v>0.98337754299837687</v>
      </c>
      <c r="T74" s="54">
        <v>67.5</v>
      </c>
      <c r="U74" s="97">
        <f t="shared" si="4"/>
        <v>7.6353579286122311E-2</v>
      </c>
      <c r="V74" s="54"/>
      <c r="W74" s="97">
        <f t="shared" si="30"/>
        <v>0</v>
      </c>
      <c r="X74" s="54">
        <f t="shared" si="33"/>
        <v>7308.3899999999994</v>
      </c>
      <c r="Y74" s="97">
        <f t="shared" si="26"/>
        <v>0.68891572261593015</v>
      </c>
    </row>
    <row r="75" spans="1:25" x14ac:dyDescent="0.25">
      <c r="A75" s="82" t="s">
        <v>46</v>
      </c>
      <c r="B75" s="74">
        <v>20000</v>
      </c>
      <c r="C75" s="54">
        <v>3900.7000000000003</v>
      </c>
      <c r="D75" s="54">
        <f t="shared" si="34"/>
        <v>46808.4</v>
      </c>
      <c r="E75" s="49">
        <f t="shared" si="24"/>
        <v>1.3404199999999999</v>
      </c>
      <c r="F75" s="54">
        <f>3816.9+410.57</f>
        <v>4227.47</v>
      </c>
      <c r="G75" s="54">
        <v>6088.57</v>
      </c>
      <c r="H75" s="54">
        <v>7490.24</v>
      </c>
      <c r="I75" s="54">
        <f>2096.99+675</f>
        <v>2771.99</v>
      </c>
      <c r="J75" s="54">
        <v>9486.42</v>
      </c>
      <c r="K75" s="54">
        <v>3239.76</v>
      </c>
      <c r="L75" s="54">
        <v>6829.61</v>
      </c>
      <c r="M75" s="97">
        <f t="shared" si="35"/>
        <v>1.7508677929602376</v>
      </c>
      <c r="N75" s="54">
        <f>2956.2-2.5</f>
        <v>2953.7</v>
      </c>
      <c r="O75" s="97">
        <f t="shared" si="7"/>
        <v>0.75722306252723859</v>
      </c>
      <c r="P75" s="54">
        <v>8579.7900000000009</v>
      </c>
      <c r="Q75" s="97">
        <f t="shared" ref="Q75:U138" si="36">P75/$C75</f>
        <v>2.199551362575948</v>
      </c>
      <c r="R75" s="54">
        <v>3042.82</v>
      </c>
      <c r="S75" s="97">
        <f t="shared" si="36"/>
        <v>0.78007024380239443</v>
      </c>
      <c r="T75" s="54">
        <v>3474.91</v>
      </c>
      <c r="U75" s="97">
        <f t="shared" si="36"/>
        <v>0.89084266926449085</v>
      </c>
      <c r="V75" s="54"/>
      <c r="W75" s="97">
        <f t="shared" si="30"/>
        <v>0</v>
      </c>
      <c r="X75" s="54">
        <f t="shared" si="33"/>
        <v>58185.279999999999</v>
      </c>
      <c r="Y75" s="97">
        <f t="shared" si="26"/>
        <v>1.2430521017595131</v>
      </c>
    </row>
    <row r="76" spans="1:25" x14ac:dyDescent="0.25">
      <c r="A76" s="82" t="s">
        <v>47</v>
      </c>
      <c r="B76" s="74">
        <v>500</v>
      </c>
      <c r="C76" s="54">
        <v>108.89000000000001</v>
      </c>
      <c r="D76" s="54">
        <f t="shared" si="34"/>
        <v>1306.6800000000003</v>
      </c>
      <c r="E76" s="49">
        <f t="shared" si="24"/>
        <v>1.6133600000000006</v>
      </c>
      <c r="F76" s="54"/>
      <c r="G76" s="54"/>
      <c r="H76" s="54"/>
      <c r="I76" s="54"/>
      <c r="J76" s="54"/>
      <c r="K76" s="54">
        <v>145</v>
      </c>
      <c r="L76" s="54">
        <v>159.93</v>
      </c>
      <c r="M76" s="97">
        <f t="shared" si="35"/>
        <v>1.4687299109192762</v>
      </c>
      <c r="N76" s="54"/>
      <c r="O76" s="97">
        <f t="shared" ref="O76:O139" si="37">N76/C76</f>
        <v>0</v>
      </c>
      <c r="P76" s="54"/>
      <c r="Q76" s="97">
        <f t="shared" si="36"/>
        <v>0</v>
      </c>
      <c r="R76" s="54"/>
      <c r="S76" s="97">
        <f t="shared" si="36"/>
        <v>0</v>
      </c>
      <c r="T76" s="54"/>
      <c r="U76" s="97">
        <f t="shared" si="36"/>
        <v>0</v>
      </c>
      <c r="V76" s="54"/>
      <c r="W76" s="97" t="e">
        <f t="shared" si="30"/>
        <v>#DIV/0!</v>
      </c>
      <c r="X76" s="54">
        <f t="shared" si="33"/>
        <v>304.93</v>
      </c>
      <c r="Y76" s="97">
        <f t="shared" si="26"/>
        <v>0.23336241466923802</v>
      </c>
    </row>
    <row r="77" spans="1:25" x14ac:dyDescent="0.25">
      <c r="A77" s="80" t="s">
        <v>48</v>
      </c>
      <c r="B77" s="81">
        <v>276900</v>
      </c>
      <c r="C77" s="58">
        <v>44815.927777777775</v>
      </c>
      <c r="D77" s="58">
        <f>SUM(D78:D83)</f>
        <v>558033.21333333338</v>
      </c>
      <c r="E77" s="49">
        <f t="shared" si="24"/>
        <v>1.0152878776935115</v>
      </c>
      <c r="F77" s="58">
        <f>SUM(F78:F83)</f>
        <v>46272.119999999995</v>
      </c>
      <c r="G77" s="58">
        <f t="shared" ref="G77:X77" si="38">SUM(G78:G83)</f>
        <v>42819.15</v>
      </c>
      <c r="H77" s="58">
        <f t="shared" si="38"/>
        <v>15259.57</v>
      </c>
      <c r="I77" s="58">
        <f t="shared" si="38"/>
        <v>48644.89</v>
      </c>
      <c r="J77" s="58">
        <f t="shared" si="38"/>
        <v>46973.39</v>
      </c>
      <c r="K77" s="58">
        <f t="shared" si="38"/>
        <v>55868.130000000005</v>
      </c>
      <c r="L77" s="58">
        <f t="shared" si="38"/>
        <v>45622.5</v>
      </c>
      <c r="M77" s="100">
        <f t="shared" si="35"/>
        <v>1.017997445600628</v>
      </c>
      <c r="N77" s="58">
        <f t="shared" si="38"/>
        <v>53092.28</v>
      </c>
      <c r="O77" s="100">
        <f t="shared" si="37"/>
        <v>1.1846743475502943</v>
      </c>
      <c r="P77" s="58">
        <f t="shared" si="38"/>
        <v>49415.19</v>
      </c>
      <c r="Q77" s="100">
        <f t="shared" si="36"/>
        <v>1.102625616611753</v>
      </c>
      <c r="R77" s="58">
        <f t="shared" si="38"/>
        <v>53206.09</v>
      </c>
      <c r="S77" s="100">
        <f t="shared" si="36"/>
        <v>1.1872138464660444</v>
      </c>
      <c r="T77" s="58">
        <f t="shared" si="38"/>
        <v>32269</v>
      </c>
      <c r="U77" s="100">
        <f t="shared" si="36"/>
        <v>0.72003418427501042</v>
      </c>
      <c r="V77" s="58">
        <f t="shared" si="38"/>
        <v>0</v>
      </c>
      <c r="W77" s="100">
        <f t="shared" si="30"/>
        <v>0</v>
      </c>
      <c r="X77" s="58">
        <f t="shared" si="38"/>
        <v>489442.31</v>
      </c>
      <c r="Y77" s="100">
        <f t="shared" si="26"/>
        <v>0.87708455035567645</v>
      </c>
    </row>
    <row r="78" spans="1:25" x14ac:dyDescent="0.25">
      <c r="A78" s="82" t="s">
        <v>49</v>
      </c>
      <c r="B78" s="74">
        <v>54000</v>
      </c>
      <c r="C78" s="54">
        <v>5206.84</v>
      </c>
      <c r="D78" s="54">
        <f>C78*12</f>
        <v>62482.080000000002</v>
      </c>
      <c r="E78" s="49">
        <f t="shared" si="24"/>
        <v>0.15707555555555563</v>
      </c>
      <c r="F78" s="54">
        <v>4460.67</v>
      </c>
      <c r="G78" s="54">
        <v>4460.67</v>
      </c>
      <c r="H78" s="54">
        <v>8921.34</v>
      </c>
      <c r="I78" s="54">
        <v>8921.34</v>
      </c>
      <c r="J78" s="54">
        <v>4460.67</v>
      </c>
      <c r="K78" s="54">
        <v>4460.67</v>
      </c>
      <c r="L78" s="54">
        <v>4460.67</v>
      </c>
      <c r="M78" s="97">
        <f t="shared" si="35"/>
        <v>0.85669427138149046</v>
      </c>
      <c r="N78" s="54">
        <v>4460.67</v>
      </c>
      <c r="O78" s="97">
        <f t="shared" si="37"/>
        <v>0.85669427138149046</v>
      </c>
      <c r="P78" s="54">
        <v>4460.67</v>
      </c>
      <c r="Q78" s="97">
        <f t="shared" si="36"/>
        <v>0.85669427138149046</v>
      </c>
      <c r="R78" s="54">
        <v>4460.67</v>
      </c>
      <c r="S78" s="97">
        <f t="shared" si="36"/>
        <v>0.85669427138149046</v>
      </c>
      <c r="T78" s="54"/>
      <c r="U78" s="97">
        <f t="shared" si="36"/>
        <v>0</v>
      </c>
      <c r="V78" s="54"/>
      <c r="W78" s="97">
        <f t="shared" si="30"/>
        <v>0</v>
      </c>
      <c r="X78" s="54">
        <f t="shared" ref="X78:X83" si="39">V78+T78+R78+P78+N78+L78+K78+J78+I78+H78+G78+F78</f>
        <v>53528.039999999994</v>
      </c>
      <c r="Y78" s="97">
        <f t="shared" si="26"/>
        <v>0.85669427138149035</v>
      </c>
    </row>
    <row r="79" spans="1:25" x14ac:dyDescent="0.25">
      <c r="A79" s="82" t="s">
        <v>50</v>
      </c>
      <c r="B79" s="74">
        <v>27400</v>
      </c>
      <c r="C79" s="54">
        <v>1141.6666666666667</v>
      </c>
      <c r="D79" s="54">
        <f>B79/2</f>
        <v>13700</v>
      </c>
      <c r="E79" s="49">
        <f t="shared" si="24"/>
        <v>-0.5</v>
      </c>
      <c r="F79" s="54">
        <v>257.7</v>
      </c>
      <c r="G79" s="54">
        <v>257.7</v>
      </c>
      <c r="H79" s="54">
        <v>257.7</v>
      </c>
      <c r="I79" s="54">
        <v>257.7</v>
      </c>
      <c r="J79" s="54">
        <v>257.7</v>
      </c>
      <c r="K79" s="54">
        <v>257.7</v>
      </c>
      <c r="L79" s="54">
        <v>285.3</v>
      </c>
      <c r="M79" s="97">
        <f t="shared" si="35"/>
        <v>0.24989781021897808</v>
      </c>
      <c r="N79" s="54">
        <v>6285.3</v>
      </c>
      <c r="O79" s="97">
        <f t="shared" si="37"/>
        <v>5.5053722627737223</v>
      </c>
      <c r="P79" s="54">
        <v>285.3</v>
      </c>
      <c r="Q79" s="97">
        <f t="shared" si="36"/>
        <v>0.24989781021897808</v>
      </c>
      <c r="R79" s="54">
        <v>6285.3</v>
      </c>
      <c r="S79" s="97">
        <f t="shared" si="36"/>
        <v>5.5053722627737223</v>
      </c>
      <c r="T79" s="54"/>
      <c r="U79" s="97">
        <f t="shared" si="36"/>
        <v>0</v>
      </c>
      <c r="V79" s="54"/>
      <c r="W79" s="97">
        <f t="shared" si="30"/>
        <v>0</v>
      </c>
      <c r="X79" s="54">
        <f t="shared" si="39"/>
        <v>14687.400000000005</v>
      </c>
      <c r="Y79" s="97">
        <f t="shared" si="26"/>
        <v>1.0720729927007302</v>
      </c>
    </row>
    <row r="80" spans="1:25" x14ac:dyDescent="0.25">
      <c r="A80" s="82" t="s">
        <v>155</v>
      </c>
      <c r="B80" s="74">
        <v>22000</v>
      </c>
      <c r="C80" s="54">
        <v>1666.6666666666667</v>
      </c>
      <c r="D80" s="54">
        <v>26000</v>
      </c>
      <c r="E80" s="49">
        <f t="shared" si="24"/>
        <v>0.18181818181818188</v>
      </c>
      <c r="F80" s="54">
        <v>3041.4</v>
      </c>
      <c r="G80" s="54">
        <f>353.43</f>
        <v>353.43</v>
      </c>
      <c r="H80" s="54">
        <v>520.91</v>
      </c>
      <c r="I80" s="54">
        <v>1703.71</v>
      </c>
      <c r="J80" s="54"/>
      <c r="K80" s="54"/>
      <c r="L80" s="54">
        <v>3411.09</v>
      </c>
      <c r="M80" s="97">
        <f t="shared" si="35"/>
        <v>2.0466540000000002</v>
      </c>
      <c r="N80" s="54">
        <v>3411.08</v>
      </c>
      <c r="O80" s="97">
        <f t="shared" si="37"/>
        <v>2.0466479999999998</v>
      </c>
      <c r="P80" s="54">
        <v>3411.08</v>
      </c>
      <c r="Q80" s="97">
        <f t="shared" si="36"/>
        <v>2.0466479999999998</v>
      </c>
      <c r="R80" s="54">
        <v>3411.08</v>
      </c>
      <c r="S80" s="97">
        <f t="shared" si="36"/>
        <v>2.0466479999999998</v>
      </c>
      <c r="T80" s="54"/>
      <c r="U80" s="97">
        <f t="shared" si="36"/>
        <v>0</v>
      </c>
      <c r="V80" s="54"/>
      <c r="W80" s="97">
        <f t="shared" si="30"/>
        <v>0</v>
      </c>
      <c r="X80" s="54">
        <f t="shared" si="39"/>
        <v>19263.780000000002</v>
      </c>
      <c r="Y80" s="97">
        <f t="shared" si="26"/>
        <v>0.74091461538461545</v>
      </c>
    </row>
    <row r="81" spans="1:25" x14ac:dyDescent="0.25">
      <c r="A81" s="82" t="s">
        <v>51</v>
      </c>
      <c r="B81" s="74">
        <v>9500</v>
      </c>
      <c r="C81" s="54">
        <v>791.66666666666663</v>
      </c>
      <c r="D81" s="54">
        <f>B81</f>
        <v>9500</v>
      </c>
      <c r="E81" s="49">
        <f t="shared" si="24"/>
        <v>0</v>
      </c>
      <c r="F81" s="54"/>
      <c r="G81" s="54"/>
      <c r="H81" s="54"/>
      <c r="I81" s="54"/>
      <c r="J81" s="54"/>
      <c r="K81" s="54"/>
      <c r="L81" s="54"/>
      <c r="M81" s="97">
        <f t="shared" si="35"/>
        <v>0</v>
      </c>
      <c r="N81" s="54"/>
      <c r="O81" s="97">
        <f t="shared" si="37"/>
        <v>0</v>
      </c>
      <c r="P81" s="54"/>
      <c r="Q81" s="97">
        <f t="shared" si="36"/>
        <v>0</v>
      </c>
      <c r="R81" s="54"/>
      <c r="S81" s="97">
        <f t="shared" si="36"/>
        <v>0</v>
      </c>
      <c r="T81" s="54"/>
      <c r="U81" s="97">
        <f t="shared" si="36"/>
        <v>0</v>
      </c>
      <c r="V81" s="54"/>
      <c r="W81" s="97" t="e">
        <f t="shared" si="30"/>
        <v>#DIV/0!</v>
      </c>
      <c r="X81" s="54">
        <f t="shared" si="39"/>
        <v>0</v>
      </c>
      <c r="Y81" s="97">
        <f t="shared" si="26"/>
        <v>0</v>
      </c>
    </row>
    <row r="82" spans="1:25" ht="17.100000000000001" customHeight="1" x14ac:dyDescent="0.25">
      <c r="A82" s="84" t="s">
        <v>175</v>
      </c>
      <c r="B82" s="74">
        <v>114000</v>
      </c>
      <c r="C82" s="54">
        <v>30100</v>
      </c>
      <c r="D82" s="54">
        <f>C82*12</f>
        <v>361200</v>
      </c>
      <c r="E82" s="49">
        <f t="shared" si="24"/>
        <v>2.168421052631579</v>
      </c>
      <c r="F82" s="54">
        <f>1634.36+30150.44</f>
        <v>31784.799999999999</v>
      </c>
      <c r="G82" s="54">
        <v>33116.6</v>
      </c>
      <c r="H82" s="54"/>
      <c r="I82" s="54">
        <v>32269</v>
      </c>
      <c r="J82" s="54">
        <v>34639</v>
      </c>
      <c r="K82" s="54">
        <f>10554.3+27564.7</f>
        <v>38119</v>
      </c>
      <c r="L82" s="54">
        <v>32259</v>
      </c>
      <c r="M82" s="97">
        <f t="shared" si="35"/>
        <v>1.0717275747508306</v>
      </c>
      <c r="N82" s="54">
        <v>32269.01</v>
      </c>
      <c r="O82" s="97">
        <f t="shared" si="37"/>
        <v>1.0720601328903654</v>
      </c>
      <c r="P82" s="54">
        <v>32269</v>
      </c>
      <c r="Q82" s="97">
        <f t="shared" si="36"/>
        <v>1.0720598006644517</v>
      </c>
      <c r="R82" s="54">
        <v>32268.99</v>
      </c>
      <c r="S82" s="97">
        <f t="shared" si="36"/>
        <v>1.0720594684385383</v>
      </c>
      <c r="T82" s="54">
        <v>32269</v>
      </c>
      <c r="U82" s="97">
        <f t="shared" si="36"/>
        <v>1.0720598006644517</v>
      </c>
      <c r="V82" s="54"/>
      <c r="W82" s="97">
        <f t="shared" si="30"/>
        <v>0</v>
      </c>
      <c r="X82" s="54">
        <f t="shared" si="39"/>
        <v>331263.39999999997</v>
      </c>
      <c r="Y82" s="97">
        <f t="shared" si="26"/>
        <v>0.9171190476190475</v>
      </c>
    </row>
    <row r="83" spans="1:25" x14ac:dyDescent="0.25">
      <c r="A83" s="84" t="s">
        <v>52</v>
      </c>
      <c r="B83" s="74">
        <v>50000</v>
      </c>
      <c r="C83" s="54">
        <v>7095.9277777777788</v>
      </c>
      <c r="D83" s="54">
        <f>C83*12</f>
        <v>85151.133333333346</v>
      </c>
      <c r="E83" s="49">
        <f t="shared" si="24"/>
        <v>0.70302266666666702</v>
      </c>
      <c r="F83" s="54">
        <f>4677.48-1634.36+3684.43</f>
        <v>6727.5499999999993</v>
      </c>
      <c r="G83" s="54">
        <f>13217.62-11160+2573.13</f>
        <v>4630.7500000000009</v>
      </c>
      <c r="H83" s="54">
        <f>2772.5+2787.12</f>
        <v>5559.62</v>
      </c>
      <c r="I83" s="54">
        <f>4374.37+2753.13-1634.36</f>
        <v>5493.14</v>
      </c>
      <c r="J83" s="54">
        <f>3732.3+3883.72</f>
        <v>7616.02</v>
      </c>
      <c r="K83" s="54">
        <f>2705.66+10325.1</f>
        <v>13030.76</v>
      </c>
      <c r="L83" s="54">
        <f>3584.1+1622.34</f>
        <v>5206.4399999999996</v>
      </c>
      <c r="M83" s="97">
        <f t="shared" si="35"/>
        <v>0.73372223661928149</v>
      </c>
      <c r="N83" s="54">
        <f>2663.72+4002.5</f>
        <v>6666.2199999999993</v>
      </c>
      <c r="O83" s="97">
        <f t="shared" si="37"/>
        <v>0.93944304518945509</v>
      </c>
      <c r="P83" s="54">
        <f>6001.45+2987.69</f>
        <v>8989.14</v>
      </c>
      <c r="Q83" s="97">
        <f t="shared" si="36"/>
        <v>1.266802634061633</v>
      </c>
      <c r="R83" s="54">
        <f>4166.7+2613.35</f>
        <v>6780.0499999999993</v>
      </c>
      <c r="S83" s="97">
        <f t="shared" si="36"/>
        <v>0.95548464025141155</v>
      </c>
      <c r="T83" s="54"/>
      <c r="U83" s="97">
        <f t="shared" si="36"/>
        <v>0</v>
      </c>
      <c r="V83" s="54"/>
      <c r="W83" s="97">
        <f t="shared" si="30"/>
        <v>0</v>
      </c>
      <c r="X83" s="54">
        <f t="shared" si="39"/>
        <v>70699.689999999988</v>
      </c>
      <c r="Y83" s="97">
        <f t="shared" si="26"/>
        <v>0.83028477992463567</v>
      </c>
    </row>
    <row r="84" spans="1:25" x14ac:dyDescent="0.25">
      <c r="A84" s="80" t="s">
        <v>53</v>
      </c>
      <c r="B84" s="81">
        <v>46600</v>
      </c>
      <c r="C84" s="58">
        <v>4775.5511111111109</v>
      </c>
      <c r="D84" s="58">
        <f>SUM(D85:D92)</f>
        <v>57306.613333333327</v>
      </c>
      <c r="E84" s="49">
        <f t="shared" si="24"/>
        <v>0.22975565092989969</v>
      </c>
      <c r="F84" s="58">
        <f>SUM(F85:F92)</f>
        <v>2595.65</v>
      </c>
      <c r="G84" s="58">
        <f t="shared" ref="G84:X84" si="40">SUM(G85:G92)</f>
        <v>7061.54</v>
      </c>
      <c r="H84" s="58">
        <f t="shared" si="40"/>
        <v>2054.6999999999998</v>
      </c>
      <c r="I84" s="58">
        <f t="shared" si="40"/>
        <v>5122.54</v>
      </c>
      <c r="J84" s="58">
        <f t="shared" si="40"/>
        <v>3534.63</v>
      </c>
      <c r="K84" s="58">
        <f t="shared" si="40"/>
        <v>3147.2799999999997</v>
      </c>
      <c r="L84" s="58">
        <f t="shared" si="40"/>
        <v>1617.54</v>
      </c>
      <c r="M84" s="100">
        <f t="shared" si="35"/>
        <v>0.3387127396116702</v>
      </c>
      <c r="N84" s="58">
        <f t="shared" si="40"/>
        <v>5560.0300000000007</v>
      </c>
      <c r="O84" s="100">
        <f t="shared" si="37"/>
        <v>1.1642698131873555</v>
      </c>
      <c r="P84" s="58">
        <f t="shared" si="40"/>
        <v>3469.52</v>
      </c>
      <c r="Q84" s="100">
        <f t="shared" si="36"/>
        <v>0.72651719545574267</v>
      </c>
      <c r="R84" s="58">
        <f t="shared" si="40"/>
        <v>2550.6999999999998</v>
      </c>
      <c r="S84" s="100">
        <f t="shared" si="36"/>
        <v>0.53411636492914372</v>
      </c>
      <c r="T84" s="58">
        <f t="shared" si="40"/>
        <v>2033</v>
      </c>
      <c r="U84" s="100">
        <f t="shared" si="36"/>
        <v>0.42571002858076185</v>
      </c>
      <c r="V84" s="58">
        <f t="shared" si="40"/>
        <v>0</v>
      </c>
      <c r="W84" s="100">
        <f t="shared" si="30"/>
        <v>0</v>
      </c>
      <c r="X84" s="58">
        <f t="shared" si="40"/>
        <v>38747.130000000005</v>
      </c>
      <c r="Y84" s="100">
        <f t="shared" si="26"/>
        <v>0.6761371462421093</v>
      </c>
    </row>
    <row r="85" spans="1:25" x14ac:dyDescent="0.25">
      <c r="A85" s="84" t="s">
        <v>113</v>
      </c>
      <c r="B85" s="74">
        <v>600</v>
      </c>
      <c r="C85" s="54">
        <v>50</v>
      </c>
      <c r="D85" s="54">
        <f>C85*12</f>
        <v>600</v>
      </c>
      <c r="E85" s="49">
        <f t="shared" ref="E85:E116" si="41">IFERROR((D85/B85)-1,0)</f>
        <v>0</v>
      </c>
      <c r="F85" s="54"/>
      <c r="G85" s="54"/>
      <c r="H85" s="54"/>
      <c r="I85" s="54"/>
      <c r="J85" s="54"/>
      <c r="K85" s="54"/>
      <c r="L85" s="54"/>
      <c r="M85" s="97">
        <f t="shared" si="35"/>
        <v>0</v>
      </c>
      <c r="N85" s="54"/>
      <c r="O85" s="97">
        <f t="shared" si="37"/>
        <v>0</v>
      </c>
      <c r="P85" s="54"/>
      <c r="Q85" s="97">
        <f t="shared" si="36"/>
        <v>0</v>
      </c>
      <c r="R85" s="54">
        <f>150</f>
        <v>150</v>
      </c>
      <c r="S85" s="97">
        <f t="shared" si="36"/>
        <v>3</v>
      </c>
      <c r="T85" s="54"/>
      <c r="U85" s="97">
        <f t="shared" si="36"/>
        <v>0</v>
      </c>
      <c r="V85" s="54"/>
      <c r="W85" s="97" t="e">
        <f t="shared" si="30"/>
        <v>#DIV/0!</v>
      </c>
      <c r="X85" s="54">
        <f t="shared" ref="X85:X92" si="42">V85+T85+R85+P85+N85+L85+K85+J85+I85+H85+G85+F85</f>
        <v>150</v>
      </c>
      <c r="Y85" s="97">
        <f t="shared" ref="Y85:Y116" si="43">X85/D85</f>
        <v>0.25</v>
      </c>
    </row>
    <row r="86" spans="1:25" x14ac:dyDescent="0.25">
      <c r="A86" s="82" t="s">
        <v>54</v>
      </c>
      <c r="B86" s="74">
        <v>1100</v>
      </c>
      <c r="C86" s="54">
        <v>144.78444444444443</v>
      </c>
      <c r="D86" s="54">
        <f>C86*12</f>
        <v>1737.4133333333332</v>
      </c>
      <c r="E86" s="49">
        <f t="shared" si="41"/>
        <v>0.57946666666666657</v>
      </c>
      <c r="F86" s="54">
        <v>34.9</v>
      </c>
      <c r="G86" s="54">
        <v>250.64</v>
      </c>
      <c r="H86" s="54">
        <v>34.9</v>
      </c>
      <c r="I86" s="54"/>
      <c r="J86" s="54">
        <v>69.8</v>
      </c>
      <c r="K86" s="54"/>
      <c r="L86" s="54">
        <v>34.9</v>
      </c>
      <c r="M86" s="97">
        <f t="shared" si="35"/>
        <v>0.24104799472012034</v>
      </c>
      <c r="N86" s="54">
        <v>237.5</v>
      </c>
      <c r="O86" s="97">
        <f t="shared" si="37"/>
        <v>1.6403695915767502</v>
      </c>
      <c r="P86" s="54">
        <v>34.9</v>
      </c>
      <c r="Q86" s="97">
        <f t="shared" si="36"/>
        <v>0.24104799472012034</v>
      </c>
      <c r="R86" s="54">
        <v>34.9</v>
      </c>
      <c r="S86" s="97">
        <f t="shared" si="36"/>
        <v>0.24104799472012034</v>
      </c>
      <c r="T86" s="54">
        <v>289</v>
      </c>
      <c r="U86" s="97">
        <f t="shared" si="36"/>
        <v>1.9960707872239192</v>
      </c>
      <c r="V86" s="54"/>
      <c r="W86" s="97" t="e">
        <f t="shared" si="30"/>
        <v>#DIV/0!</v>
      </c>
      <c r="X86" s="54">
        <f t="shared" si="42"/>
        <v>1021.4399999999998</v>
      </c>
      <c r="Y86" s="97">
        <f t="shared" si="43"/>
        <v>0.58790846162110721</v>
      </c>
    </row>
    <row r="87" spans="1:25" x14ac:dyDescent="0.25">
      <c r="A87" s="82" t="s">
        <v>55</v>
      </c>
      <c r="B87" s="74">
        <v>6900</v>
      </c>
      <c r="C87" s="54">
        <v>246.84999999999997</v>
      </c>
      <c r="D87" s="54">
        <f t="shared" ref="D87:D92" si="44">C87*12</f>
        <v>2962.2</v>
      </c>
      <c r="E87" s="49">
        <f t="shared" si="41"/>
        <v>-0.57069565217391305</v>
      </c>
      <c r="F87" s="54"/>
      <c r="G87" s="54"/>
      <c r="H87" s="54"/>
      <c r="I87" s="54">
        <v>3229.37</v>
      </c>
      <c r="J87" s="54">
        <v>148.44</v>
      </c>
      <c r="K87" s="54"/>
      <c r="L87" s="54"/>
      <c r="M87" s="97">
        <f t="shared" si="35"/>
        <v>0</v>
      </c>
      <c r="N87" s="54">
        <v>292.10000000000002</v>
      </c>
      <c r="O87" s="97">
        <f t="shared" si="37"/>
        <v>1.1833097022483292</v>
      </c>
      <c r="P87" s="54"/>
      <c r="Q87" s="97">
        <f t="shared" si="36"/>
        <v>0</v>
      </c>
      <c r="R87" s="54"/>
      <c r="S87" s="97">
        <f t="shared" si="36"/>
        <v>0</v>
      </c>
      <c r="T87" s="54"/>
      <c r="U87" s="97">
        <f t="shared" si="36"/>
        <v>0</v>
      </c>
      <c r="V87" s="54"/>
      <c r="W87" s="97">
        <f t="shared" si="30"/>
        <v>0</v>
      </c>
      <c r="X87" s="54">
        <f t="shared" si="42"/>
        <v>3669.91</v>
      </c>
      <c r="Y87" s="97">
        <f t="shared" si="43"/>
        <v>1.2389136452636553</v>
      </c>
    </row>
    <row r="88" spans="1:25" x14ac:dyDescent="0.25">
      <c r="A88" s="84" t="s">
        <v>112</v>
      </c>
      <c r="B88" s="74">
        <v>1600</v>
      </c>
      <c r="C88" s="54">
        <v>196.55555555555554</v>
      </c>
      <c r="D88" s="54">
        <f t="shared" si="44"/>
        <v>2358.6666666666665</v>
      </c>
      <c r="E88" s="49">
        <f t="shared" si="41"/>
        <v>0.47416666666666663</v>
      </c>
      <c r="F88" s="54">
        <v>300</v>
      </c>
      <c r="G88" s="54">
        <v>360</v>
      </c>
      <c r="H88" s="54">
        <f>504</f>
        <v>504</v>
      </c>
      <c r="I88" s="54">
        <v>528</v>
      </c>
      <c r="J88" s="54">
        <v>420</v>
      </c>
      <c r="K88" s="54">
        <v>972</v>
      </c>
      <c r="L88" s="54">
        <v>192</v>
      </c>
      <c r="M88" s="97">
        <f t="shared" si="35"/>
        <v>0.97682306387789719</v>
      </c>
      <c r="N88" s="54">
        <v>156</v>
      </c>
      <c r="O88" s="97">
        <f t="shared" si="37"/>
        <v>0.79366873940079141</v>
      </c>
      <c r="P88" s="54">
        <f>246.36+528</f>
        <v>774.36</v>
      </c>
      <c r="Q88" s="97">
        <f t="shared" si="36"/>
        <v>3.9396495195025443</v>
      </c>
      <c r="R88" s="54">
        <f>672</f>
        <v>672</v>
      </c>
      <c r="S88" s="97">
        <f t="shared" si="36"/>
        <v>3.4188807235726402</v>
      </c>
      <c r="T88" s="54">
        <v>494</v>
      </c>
      <c r="U88" s="97">
        <f t="shared" si="36"/>
        <v>2.5132843414358397</v>
      </c>
      <c r="V88" s="54"/>
      <c r="W88" s="97">
        <f t="shared" si="30"/>
        <v>0</v>
      </c>
      <c r="X88" s="54">
        <f t="shared" si="42"/>
        <v>5372.3600000000006</v>
      </c>
      <c r="Y88" s="97">
        <f t="shared" si="43"/>
        <v>2.2777105709440364</v>
      </c>
    </row>
    <row r="89" spans="1:25" x14ac:dyDescent="0.25">
      <c r="A89" s="82" t="s">
        <v>56</v>
      </c>
      <c r="B89" s="74">
        <v>3900</v>
      </c>
      <c r="C89" s="54">
        <v>270.75111111111113</v>
      </c>
      <c r="D89" s="54">
        <f t="shared" si="44"/>
        <v>3249.0133333333333</v>
      </c>
      <c r="E89" s="49">
        <f t="shared" si="41"/>
        <v>-0.16691965811965814</v>
      </c>
      <c r="F89" s="54">
        <v>339.5</v>
      </c>
      <c r="G89" s="54">
        <v>133.9</v>
      </c>
      <c r="H89" s="54">
        <v>175.9</v>
      </c>
      <c r="I89" s="54">
        <v>65</v>
      </c>
      <c r="J89" s="54">
        <v>413.89</v>
      </c>
      <c r="K89" s="54">
        <v>603.79</v>
      </c>
      <c r="L89" s="54">
        <f>140.64</f>
        <v>140.63999999999999</v>
      </c>
      <c r="M89" s="97">
        <f t="shared" si="35"/>
        <v>0.51944385167189211</v>
      </c>
      <c r="N89" s="54">
        <v>411.8</v>
      </c>
      <c r="O89" s="97">
        <f t="shared" si="37"/>
        <v>1.5209540537434953</v>
      </c>
      <c r="P89" s="54"/>
      <c r="Q89" s="97">
        <f t="shared" si="36"/>
        <v>0</v>
      </c>
      <c r="R89" s="54">
        <v>443.8</v>
      </c>
      <c r="S89" s="97">
        <f t="shared" si="36"/>
        <v>1.6391437810863605</v>
      </c>
      <c r="T89" s="54"/>
      <c r="U89" s="97">
        <f t="shared" si="36"/>
        <v>0</v>
      </c>
      <c r="V89" s="54"/>
      <c r="W89" s="97">
        <f t="shared" ref="W89:W120" si="45">V89/I89</f>
        <v>0</v>
      </c>
      <c r="X89" s="54">
        <f t="shared" si="42"/>
        <v>2728.2200000000003</v>
      </c>
      <c r="Y89" s="97">
        <f t="shared" si="43"/>
        <v>0.83970723419622784</v>
      </c>
    </row>
    <row r="90" spans="1:25" x14ac:dyDescent="0.25">
      <c r="A90" s="82" t="s">
        <v>57</v>
      </c>
      <c r="B90" s="74">
        <v>10200</v>
      </c>
      <c r="C90" s="54">
        <v>2316.6099999999997</v>
      </c>
      <c r="D90" s="54">
        <f t="shared" si="44"/>
        <v>27799.319999999996</v>
      </c>
      <c r="E90" s="49">
        <f t="shared" si="41"/>
        <v>1.7254235294117644</v>
      </c>
      <c r="F90" s="54">
        <v>671.25</v>
      </c>
      <c r="G90" s="54">
        <f>5158.2-91.2</f>
        <v>5067</v>
      </c>
      <c r="H90" s="54">
        <v>89.9</v>
      </c>
      <c r="I90" s="54">
        <v>50.17</v>
      </c>
      <c r="J90" s="54">
        <v>1232.5</v>
      </c>
      <c r="K90" s="54">
        <v>321.49</v>
      </c>
      <c r="L90" s="54"/>
      <c r="M90" s="97">
        <f t="shared" si="35"/>
        <v>0</v>
      </c>
      <c r="N90" s="54">
        <v>3212.63</v>
      </c>
      <c r="O90" s="97">
        <f t="shared" si="37"/>
        <v>1.3867806838440655</v>
      </c>
      <c r="P90" s="54">
        <f>1499.99-89.73</f>
        <v>1410.26</v>
      </c>
      <c r="Q90" s="97">
        <f t="shared" si="36"/>
        <v>0.6087602142786227</v>
      </c>
      <c r="R90" s="54"/>
      <c r="S90" s="97">
        <f t="shared" si="36"/>
        <v>0</v>
      </c>
      <c r="T90" s="54"/>
      <c r="U90" s="97">
        <f t="shared" si="36"/>
        <v>0</v>
      </c>
      <c r="V90" s="54"/>
      <c r="W90" s="97">
        <f t="shared" si="45"/>
        <v>0</v>
      </c>
      <c r="X90" s="54">
        <f t="shared" si="42"/>
        <v>12055.2</v>
      </c>
      <c r="Y90" s="97">
        <f t="shared" si="43"/>
        <v>0.4336508950578648</v>
      </c>
    </row>
    <row r="91" spans="1:25" x14ac:dyDescent="0.25">
      <c r="A91" s="85" t="s">
        <v>58</v>
      </c>
      <c r="B91" s="74">
        <v>17300</v>
      </c>
      <c r="C91" s="54">
        <v>1250</v>
      </c>
      <c r="D91" s="54">
        <f t="shared" si="44"/>
        <v>15000</v>
      </c>
      <c r="E91" s="49">
        <f t="shared" si="41"/>
        <v>-0.13294797687861271</v>
      </c>
      <c r="F91" s="54">
        <f>1250</f>
        <v>1250</v>
      </c>
      <c r="G91" s="54">
        <v>1250</v>
      </c>
      <c r="H91" s="54">
        <v>1250</v>
      </c>
      <c r="I91" s="54">
        <v>1250</v>
      </c>
      <c r="J91" s="54">
        <v>1250</v>
      </c>
      <c r="K91" s="54">
        <v>1250</v>
      </c>
      <c r="L91" s="54">
        <v>1250</v>
      </c>
      <c r="M91" s="97">
        <f t="shared" si="35"/>
        <v>1</v>
      </c>
      <c r="N91" s="54">
        <v>1250</v>
      </c>
      <c r="O91" s="97">
        <f t="shared" si="37"/>
        <v>1</v>
      </c>
      <c r="P91" s="54">
        <v>1250</v>
      </c>
      <c r="Q91" s="97">
        <f t="shared" si="36"/>
        <v>1</v>
      </c>
      <c r="R91" s="54">
        <v>1250</v>
      </c>
      <c r="S91" s="97">
        <f t="shared" si="36"/>
        <v>1</v>
      </c>
      <c r="T91" s="54">
        <v>1250</v>
      </c>
      <c r="U91" s="97">
        <f t="shared" si="36"/>
        <v>1</v>
      </c>
      <c r="V91" s="54"/>
      <c r="W91" s="97">
        <f t="shared" si="45"/>
        <v>0</v>
      </c>
      <c r="X91" s="54">
        <f t="shared" si="42"/>
        <v>13750</v>
      </c>
      <c r="Y91" s="97">
        <f t="shared" si="43"/>
        <v>0.91666666666666663</v>
      </c>
    </row>
    <row r="92" spans="1:25" x14ac:dyDescent="0.25">
      <c r="A92" s="85" t="s">
        <v>59</v>
      </c>
      <c r="B92" s="74">
        <v>5000</v>
      </c>
      <c r="C92" s="54">
        <v>300</v>
      </c>
      <c r="D92" s="54">
        <f t="shared" si="44"/>
        <v>3600</v>
      </c>
      <c r="E92" s="49">
        <f t="shared" si="41"/>
        <v>-0.28000000000000003</v>
      </c>
      <c r="F92" s="54"/>
      <c r="G92" s="54"/>
      <c r="H92" s="54"/>
      <c r="I92" s="54"/>
      <c r="J92" s="54"/>
      <c r="K92" s="54"/>
      <c r="L92" s="54"/>
      <c r="M92" s="97">
        <f t="shared" si="35"/>
        <v>0</v>
      </c>
      <c r="N92" s="54"/>
      <c r="O92" s="97">
        <f t="shared" si="37"/>
        <v>0</v>
      </c>
      <c r="P92" s="54"/>
      <c r="Q92" s="97">
        <f t="shared" si="36"/>
        <v>0</v>
      </c>
      <c r="R92" s="54"/>
      <c r="S92" s="97">
        <f t="shared" si="36"/>
        <v>0</v>
      </c>
      <c r="T92" s="54"/>
      <c r="U92" s="97">
        <f t="shared" si="36"/>
        <v>0</v>
      </c>
      <c r="V92" s="54"/>
      <c r="W92" s="97" t="e">
        <f t="shared" si="45"/>
        <v>#DIV/0!</v>
      </c>
      <c r="X92" s="54">
        <f t="shared" si="42"/>
        <v>0</v>
      </c>
      <c r="Y92" s="97">
        <f t="shared" si="43"/>
        <v>0</v>
      </c>
    </row>
    <row r="93" spans="1:25" x14ac:dyDescent="0.25">
      <c r="A93" s="79" t="s">
        <v>60</v>
      </c>
      <c r="B93" s="76">
        <v>105587.59040000003</v>
      </c>
      <c r="C93" s="57">
        <v>10833.333333333334</v>
      </c>
      <c r="D93" s="57">
        <f>D94</f>
        <v>130000</v>
      </c>
      <c r="E93" s="49">
        <f t="shared" si="41"/>
        <v>0.23120529133696333</v>
      </c>
      <c r="F93" s="57">
        <f>F94</f>
        <v>33886.559999999998</v>
      </c>
      <c r="G93" s="57">
        <f t="shared" ref="G93:X93" si="46">G94</f>
        <v>4630</v>
      </c>
      <c r="H93" s="57">
        <f t="shared" si="46"/>
        <v>5184.7</v>
      </c>
      <c r="I93" s="57">
        <f t="shared" si="46"/>
        <v>18332.95</v>
      </c>
      <c r="J93" s="57">
        <f t="shared" si="46"/>
        <v>15321.8</v>
      </c>
      <c r="K93" s="57">
        <f t="shared" si="46"/>
        <v>53752.27</v>
      </c>
      <c r="L93" s="57">
        <f t="shared" si="46"/>
        <v>2383.48</v>
      </c>
      <c r="M93" s="99">
        <f t="shared" si="35"/>
        <v>0.22001353846153845</v>
      </c>
      <c r="N93" s="57">
        <f t="shared" si="46"/>
        <v>3779.48</v>
      </c>
      <c r="O93" s="99">
        <f t="shared" si="37"/>
        <v>0.3488750769230769</v>
      </c>
      <c r="P93" s="57">
        <f t="shared" si="46"/>
        <v>10896.34</v>
      </c>
      <c r="Q93" s="99">
        <f t="shared" si="36"/>
        <v>1.005816</v>
      </c>
      <c r="R93" s="57">
        <f t="shared" si="46"/>
        <v>3730.38</v>
      </c>
      <c r="S93" s="99">
        <f t="shared" si="36"/>
        <v>0.34434276923076923</v>
      </c>
      <c r="T93" s="57">
        <f t="shared" si="46"/>
        <v>5490.3</v>
      </c>
      <c r="U93" s="99">
        <f t="shared" si="36"/>
        <v>0.50679692307692303</v>
      </c>
      <c r="V93" s="57">
        <f t="shared" si="46"/>
        <v>0</v>
      </c>
      <c r="W93" s="99">
        <f t="shared" si="45"/>
        <v>0</v>
      </c>
      <c r="X93" s="57">
        <f t="shared" si="46"/>
        <v>157388.26</v>
      </c>
      <c r="Y93" s="99">
        <f t="shared" si="43"/>
        <v>1.210678923076923</v>
      </c>
    </row>
    <row r="94" spans="1:25" x14ac:dyDescent="0.25">
      <c r="A94" s="80" t="s">
        <v>61</v>
      </c>
      <c r="B94" s="81">
        <v>105587.59040000003</v>
      </c>
      <c r="C94" s="58">
        <v>10833.333333333334</v>
      </c>
      <c r="D94" s="58">
        <f>SUM(D95:D108)</f>
        <v>130000</v>
      </c>
      <c r="E94" s="49">
        <f t="shared" si="41"/>
        <v>0.23120529133696333</v>
      </c>
      <c r="F94" s="58">
        <f>SUM(F95:F108)</f>
        <v>33886.559999999998</v>
      </c>
      <c r="G94" s="58">
        <f t="shared" ref="G94:X94" si="47">SUM(G95:G108)</f>
        <v>4630</v>
      </c>
      <c r="H94" s="58">
        <f t="shared" si="47"/>
        <v>5184.7</v>
      </c>
      <c r="I94" s="58">
        <f t="shared" si="47"/>
        <v>18332.95</v>
      </c>
      <c r="J94" s="58">
        <f t="shared" si="47"/>
        <v>15321.8</v>
      </c>
      <c r="K94" s="58">
        <f t="shared" si="47"/>
        <v>53752.27</v>
      </c>
      <c r="L94" s="58">
        <f t="shared" si="47"/>
        <v>2383.48</v>
      </c>
      <c r="M94" s="100">
        <f t="shared" si="35"/>
        <v>0.22001353846153845</v>
      </c>
      <c r="N94" s="58">
        <f t="shared" si="47"/>
        <v>3779.48</v>
      </c>
      <c r="O94" s="100">
        <f t="shared" si="37"/>
        <v>0.3488750769230769</v>
      </c>
      <c r="P94" s="58">
        <f t="shared" si="47"/>
        <v>10896.34</v>
      </c>
      <c r="Q94" s="100">
        <f t="shared" si="36"/>
        <v>1.005816</v>
      </c>
      <c r="R94" s="58">
        <f t="shared" si="47"/>
        <v>3730.38</v>
      </c>
      <c r="S94" s="100">
        <f t="shared" si="36"/>
        <v>0.34434276923076923</v>
      </c>
      <c r="T94" s="58">
        <f t="shared" si="47"/>
        <v>5490.3</v>
      </c>
      <c r="U94" s="100">
        <f t="shared" si="36"/>
        <v>0.50679692307692303</v>
      </c>
      <c r="V94" s="58">
        <f t="shared" si="47"/>
        <v>0</v>
      </c>
      <c r="W94" s="100">
        <f t="shared" si="45"/>
        <v>0</v>
      </c>
      <c r="X94" s="58">
        <f t="shared" si="47"/>
        <v>157388.26</v>
      </c>
      <c r="Y94" s="100">
        <f t="shared" si="43"/>
        <v>1.210678923076923</v>
      </c>
    </row>
    <row r="95" spans="1:25" x14ac:dyDescent="0.25">
      <c r="A95" s="82" t="s">
        <v>62</v>
      </c>
      <c r="B95" s="74">
        <v>41184</v>
      </c>
      <c r="C95" s="54">
        <v>3750</v>
      </c>
      <c r="D95" s="63">
        <v>45000</v>
      </c>
      <c r="E95" s="49">
        <f t="shared" si="41"/>
        <v>9.2657342657342712E-2</v>
      </c>
      <c r="F95" s="63"/>
      <c r="G95" s="63"/>
      <c r="H95" s="63"/>
      <c r="I95" s="63"/>
      <c r="J95" s="63">
        <f>7178.44-98.09</f>
        <v>7080.3499999999995</v>
      </c>
      <c r="K95" s="63">
        <v>52252.27</v>
      </c>
      <c r="L95" s="63">
        <v>2200</v>
      </c>
      <c r="M95" s="98">
        <f t="shared" si="35"/>
        <v>0.58666666666666667</v>
      </c>
      <c r="N95" s="63"/>
      <c r="O95" s="98">
        <f t="shared" si="37"/>
        <v>0</v>
      </c>
      <c r="P95" s="63"/>
      <c r="Q95" s="98">
        <f t="shared" si="36"/>
        <v>0</v>
      </c>
      <c r="R95" s="63"/>
      <c r="S95" s="98">
        <f t="shared" si="36"/>
        <v>0</v>
      </c>
      <c r="T95" s="63"/>
      <c r="U95" s="98">
        <f t="shared" si="36"/>
        <v>0</v>
      </c>
      <c r="V95" s="63"/>
      <c r="W95" s="98" t="e">
        <f t="shared" si="45"/>
        <v>#DIV/0!</v>
      </c>
      <c r="X95" s="63">
        <f t="shared" ref="X95:X108" si="48">V95+T95+R95+P95+N95+L95+K95+J95+I95+H95+G95+F95</f>
        <v>61532.619999999995</v>
      </c>
      <c r="Y95" s="98">
        <f t="shared" si="43"/>
        <v>1.3673915555555554</v>
      </c>
    </row>
    <row r="96" spans="1:25" x14ac:dyDescent="0.25">
      <c r="A96" s="82" t="s">
        <v>63</v>
      </c>
      <c r="B96" s="74">
        <v>5616</v>
      </c>
      <c r="C96" s="54">
        <v>1250</v>
      </c>
      <c r="D96" s="63">
        <v>15000</v>
      </c>
      <c r="E96" s="49">
        <f t="shared" si="41"/>
        <v>1.6709401709401708</v>
      </c>
      <c r="F96" s="63"/>
      <c r="G96" s="63"/>
      <c r="H96" s="63"/>
      <c r="I96" s="63">
        <v>904</v>
      </c>
      <c r="J96" s="63"/>
      <c r="K96" s="63">
        <v>1050</v>
      </c>
      <c r="L96" s="63"/>
      <c r="M96" s="98">
        <f t="shared" si="35"/>
        <v>0</v>
      </c>
      <c r="N96" s="63">
        <v>550</v>
      </c>
      <c r="O96" s="98">
        <f t="shared" si="37"/>
        <v>0.44</v>
      </c>
      <c r="P96" s="63">
        <v>9819.34</v>
      </c>
      <c r="Q96" s="98">
        <f t="shared" si="36"/>
        <v>7.8554719999999998</v>
      </c>
      <c r="R96" s="63">
        <v>525</v>
      </c>
      <c r="S96" s="98">
        <f t="shared" si="36"/>
        <v>0.42</v>
      </c>
      <c r="T96" s="63">
        <v>1756</v>
      </c>
      <c r="U96" s="98">
        <f t="shared" si="36"/>
        <v>1.4048</v>
      </c>
      <c r="V96" s="63"/>
      <c r="W96" s="98">
        <f t="shared" si="45"/>
        <v>0</v>
      </c>
      <c r="X96" s="63">
        <f t="shared" si="48"/>
        <v>14604.34</v>
      </c>
      <c r="Y96" s="98">
        <f t="shared" si="43"/>
        <v>0.97362266666666664</v>
      </c>
    </row>
    <row r="97" spans="1:25" x14ac:dyDescent="0.25">
      <c r="A97" s="82" t="s">
        <v>64</v>
      </c>
      <c r="B97" s="74">
        <v>0</v>
      </c>
      <c r="C97" s="54">
        <v>0</v>
      </c>
      <c r="D97" s="63">
        <v>0</v>
      </c>
      <c r="E97" s="49">
        <f t="shared" si="41"/>
        <v>0</v>
      </c>
      <c r="F97" s="63"/>
      <c r="G97" s="63"/>
      <c r="H97" s="63"/>
      <c r="I97" s="63"/>
      <c r="J97" s="63"/>
      <c r="K97" s="63"/>
      <c r="L97" s="63"/>
      <c r="M97" s="98" t="e">
        <f t="shared" si="35"/>
        <v>#DIV/0!</v>
      </c>
      <c r="N97" s="63"/>
      <c r="O97" s="98" t="e">
        <f t="shared" si="37"/>
        <v>#DIV/0!</v>
      </c>
      <c r="P97" s="63"/>
      <c r="Q97" s="98" t="e">
        <f t="shared" si="36"/>
        <v>#DIV/0!</v>
      </c>
      <c r="R97" s="63"/>
      <c r="S97" s="98" t="e">
        <f t="shared" si="36"/>
        <v>#DIV/0!</v>
      </c>
      <c r="T97" s="63"/>
      <c r="U97" s="98" t="e">
        <f t="shared" si="36"/>
        <v>#DIV/0!</v>
      </c>
      <c r="V97" s="63"/>
      <c r="W97" s="98" t="e">
        <f t="shared" si="45"/>
        <v>#DIV/0!</v>
      </c>
      <c r="X97" s="63">
        <f t="shared" si="48"/>
        <v>0</v>
      </c>
      <c r="Y97" s="98" t="e">
        <f t="shared" si="43"/>
        <v>#DIV/0!</v>
      </c>
    </row>
    <row r="98" spans="1:25" x14ac:dyDescent="0.25">
      <c r="A98" s="82" t="s">
        <v>65</v>
      </c>
      <c r="B98" s="74">
        <v>2121.6000000000004</v>
      </c>
      <c r="C98" s="54">
        <v>125</v>
      </c>
      <c r="D98" s="63">
        <v>1500</v>
      </c>
      <c r="E98" s="49">
        <f t="shared" si="41"/>
        <v>-0.29298642533936659</v>
      </c>
      <c r="F98" s="63"/>
      <c r="G98" s="63"/>
      <c r="H98" s="63"/>
      <c r="I98" s="63"/>
      <c r="J98" s="63"/>
      <c r="K98" s="63"/>
      <c r="L98" s="63"/>
      <c r="M98" s="98">
        <f t="shared" si="35"/>
        <v>0</v>
      </c>
      <c r="N98" s="63"/>
      <c r="O98" s="98">
        <f t="shared" si="37"/>
        <v>0</v>
      </c>
      <c r="P98" s="63"/>
      <c r="Q98" s="98">
        <f t="shared" si="36"/>
        <v>0</v>
      </c>
      <c r="R98" s="63"/>
      <c r="S98" s="98">
        <f t="shared" si="36"/>
        <v>0</v>
      </c>
      <c r="T98" s="63"/>
      <c r="U98" s="98">
        <f t="shared" si="36"/>
        <v>0</v>
      </c>
      <c r="V98" s="63"/>
      <c r="W98" s="98" t="e">
        <f t="shared" si="45"/>
        <v>#DIV/0!</v>
      </c>
      <c r="X98" s="63">
        <f t="shared" si="48"/>
        <v>0</v>
      </c>
      <c r="Y98" s="98">
        <f t="shared" si="43"/>
        <v>0</v>
      </c>
    </row>
    <row r="99" spans="1:25" x14ac:dyDescent="0.25">
      <c r="A99" s="82" t="s">
        <v>66</v>
      </c>
      <c r="B99" s="74">
        <v>7488</v>
      </c>
      <c r="C99" s="54">
        <v>1375</v>
      </c>
      <c r="D99" s="63">
        <v>16500</v>
      </c>
      <c r="E99" s="49">
        <f t="shared" si="41"/>
        <v>1.203525641025641</v>
      </c>
      <c r="F99" s="63"/>
      <c r="G99" s="63"/>
      <c r="H99" s="63"/>
      <c r="I99" s="63"/>
      <c r="J99" s="63"/>
      <c r="K99" s="63"/>
      <c r="L99" s="63"/>
      <c r="M99" s="98">
        <f t="shared" si="35"/>
        <v>0</v>
      </c>
      <c r="N99" s="63"/>
      <c r="O99" s="98">
        <f t="shared" si="37"/>
        <v>0</v>
      </c>
      <c r="P99" s="63">
        <v>37</v>
      </c>
      <c r="Q99" s="98">
        <f t="shared" si="36"/>
        <v>2.690909090909091E-2</v>
      </c>
      <c r="R99" s="63"/>
      <c r="S99" s="98">
        <f t="shared" si="36"/>
        <v>0</v>
      </c>
      <c r="T99" s="63"/>
      <c r="U99" s="98">
        <f t="shared" si="36"/>
        <v>0</v>
      </c>
      <c r="V99" s="63"/>
      <c r="W99" s="98" t="e">
        <f t="shared" si="45"/>
        <v>#DIV/0!</v>
      </c>
      <c r="X99" s="63">
        <f t="shared" si="48"/>
        <v>37</v>
      </c>
      <c r="Y99" s="98">
        <f t="shared" si="43"/>
        <v>2.2424242424242424E-3</v>
      </c>
    </row>
    <row r="100" spans="1:25" x14ac:dyDescent="0.25">
      <c r="A100" s="82" t="s">
        <v>67</v>
      </c>
      <c r="B100" s="74">
        <v>20000</v>
      </c>
      <c r="C100" s="54">
        <v>1666.6666666666667</v>
      </c>
      <c r="D100" s="63">
        <v>20000</v>
      </c>
      <c r="E100" s="49">
        <f t="shared" si="41"/>
        <v>0</v>
      </c>
      <c r="F100" s="63"/>
      <c r="G100" s="63"/>
      <c r="H100" s="63"/>
      <c r="I100" s="63"/>
      <c r="J100" s="63"/>
      <c r="K100" s="63"/>
      <c r="L100" s="63"/>
      <c r="M100" s="98">
        <f t="shared" si="35"/>
        <v>0</v>
      </c>
      <c r="N100" s="63"/>
      <c r="O100" s="98">
        <f t="shared" si="37"/>
        <v>0</v>
      </c>
      <c r="P100" s="63"/>
      <c r="Q100" s="98">
        <f t="shared" si="36"/>
        <v>0</v>
      </c>
      <c r="R100" s="63"/>
      <c r="S100" s="98">
        <f t="shared" si="36"/>
        <v>0</v>
      </c>
      <c r="T100" s="63">
        <v>3274.8</v>
      </c>
      <c r="U100" s="98">
        <f t="shared" si="36"/>
        <v>1.96488</v>
      </c>
      <c r="V100" s="63"/>
      <c r="W100" s="98" t="e">
        <f t="shared" si="45"/>
        <v>#DIV/0!</v>
      </c>
      <c r="X100" s="63">
        <f t="shared" si="48"/>
        <v>3274.8</v>
      </c>
      <c r="Y100" s="98">
        <f t="shared" si="43"/>
        <v>0.16374</v>
      </c>
    </row>
    <row r="101" spans="1:25" x14ac:dyDescent="0.25">
      <c r="A101" s="82" t="s">
        <v>114</v>
      </c>
      <c r="B101" s="74">
        <v>2079.9168</v>
      </c>
      <c r="C101" s="54">
        <v>208.33333333333334</v>
      </c>
      <c r="D101" s="63">
        <v>2500</v>
      </c>
      <c r="E101" s="49">
        <f t="shared" si="41"/>
        <v>0.2019711557693078</v>
      </c>
      <c r="F101" s="63"/>
      <c r="G101" s="63"/>
      <c r="H101" s="63">
        <v>928</v>
      </c>
      <c r="I101" s="63">
        <f>3418.9-584</f>
        <v>2834.9</v>
      </c>
      <c r="J101" s="63">
        <v>849.2</v>
      </c>
      <c r="K101" s="63"/>
      <c r="L101" s="63"/>
      <c r="M101" s="98">
        <f t="shared" si="35"/>
        <v>0</v>
      </c>
      <c r="N101" s="63"/>
      <c r="O101" s="98">
        <f t="shared" si="37"/>
        <v>0</v>
      </c>
      <c r="P101" s="63"/>
      <c r="Q101" s="98">
        <f t="shared" si="36"/>
        <v>0</v>
      </c>
      <c r="R101" s="63"/>
      <c r="S101" s="98">
        <f t="shared" si="36"/>
        <v>0</v>
      </c>
      <c r="T101" s="63"/>
      <c r="U101" s="98">
        <f t="shared" si="36"/>
        <v>0</v>
      </c>
      <c r="V101" s="63"/>
      <c r="W101" s="98">
        <f t="shared" si="45"/>
        <v>0</v>
      </c>
      <c r="X101" s="63">
        <f t="shared" si="48"/>
        <v>4612.1000000000004</v>
      </c>
      <c r="Y101" s="98">
        <f t="shared" si="43"/>
        <v>1.84484</v>
      </c>
    </row>
    <row r="102" spans="1:25" x14ac:dyDescent="0.25">
      <c r="A102" s="82" t="s">
        <v>115</v>
      </c>
      <c r="B102" s="74">
        <v>2079.9168</v>
      </c>
      <c r="C102" s="54">
        <v>416.66666666666669</v>
      </c>
      <c r="D102" s="63">
        <v>5000</v>
      </c>
      <c r="E102" s="49">
        <f t="shared" si="41"/>
        <v>1.4039423115386156</v>
      </c>
      <c r="F102" s="63"/>
      <c r="G102" s="63"/>
      <c r="H102" s="63"/>
      <c r="I102" s="63"/>
      <c r="J102" s="63"/>
      <c r="K102" s="63"/>
      <c r="L102" s="63"/>
      <c r="M102" s="98">
        <f t="shared" si="35"/>
        <v>0</v>
      </c>
      <c r="N102" s="63"/>
      <c r="O102" s="98">
        <f t="shared" si="37"/>
        <v>0</v>
      </c>
      <c r="P102" s="63">
        <v>1040</v>
      </c>
      <c r="Q102" s="98">
        <f t="shared" si="36"/>
        <v>2.496</v>
      </c>
      <c r="R102" s="63">
        <v>1432.2</v>
      </c>
      <c r="S102" s="98">
        <f t="shared" si="36"/>
        <v>3.4372799999999999</v>
      </c>
      <c r="T102" s="63"/>
      <c r="U102" s="98">
        <f t="shared" si="36"/>
        <v>0</v>
      </c>
      <c r="V102" s="63"/>
      <c r="W102" s="98" t="e">
        <f t="shared" si="45"/>
        <v>#DIV/0!</v>
      </c>
      <c r="X102" s="63">
        <f t="shared" si="48"/>
        <v>2472.1999999999998</v>
      </c>
      <c r="Y102" s="98">
        <f t="shared" si="43"/>
        <v>0.49443999999999999</v>
      </c>
    </row>
    <row r="103" spans="1:25" x14ac:dyDescent="0.25">
      <c r="A103" s="82" t="s">
        <v>116</v>
      </c>
      <c r="B103" s="74">
        <v>2079.9168</v>
      </c>
      <c r="C103" s="54">
        <v>125</v>
      </c>
      <c r="D103" s="63">
        <v>1500</v>
      </c>
      <c r="E103" s="49">
        <f t="shared" si="41"/>
        <v>-0.27881730653841541</v>
      </c>
      <c r="F103" s="63"/>
      <c r="G103" s="63">
        <v>750</v>
      </c>
      <c r="H103" s="63"/>
      <c r="I103" s="63"/>
      <c r="J103" s="63"/>
      <c r="K103" s="63"/>
      <c r="L103" s="63"/>
      <c r="M103" s="98">
        <f t="shared" si="35"/>
        <v>0</v>
      </c>
      <c r="N103" s="63"/>
      <c r="O103" s="98">
        <f t="shared" si="37"/>
        <v>0</v>
      </c>
      <c r="P103" s="63"/>
      <c r="Q103" s="98">
        <f t="shared" si="36"/>
        <v>0</v>
      </c>
      <c r="R103" s="63"/>
      <c r="S103" s="98">
        <f t="shared" si="36"/>
        <v>0</v>
      </c>
      <c r="T103" s="63"/>
      <c r="U103" s="98">
        <f t="shared" si="36"/>
        <v>0</v>
      </c>
      <c r="V103" s="63"/>
      <c r="W103" s="98" t="e">
        <f t="shared" si="45"/>
        <v>#DIV/0!</v>
      </c>
      <c r="X103" s="63">
        <f t="shared" si="48"/>
        <v>750</v>
      </c>
      <c r="Y103" s="98">
        <f t="shared" si="43"/>
        <v>0.5</v>
      </c>
    </row>
    <row r="104" spans="1:25" x14ac:dyDescent="0.25">
      <c r="A104" s="82" t="s">
        <v>117</v>
      </c>
      <c r="B104" s="74">
        <v>3107.5200000000004</v>
      </c>
      <c r="C104" s="54">
        <v>333.33333333333331</v>
      </c>
      <c r="D104" s="63">
        <v>4000</v>
      </c>
      <c r="E104" s="49">
        <f t="shared" si="41"/>
        <v>0.28720008238080519</v>
      </c>
      <c r="F104" s="63"/>
      <c r="G104" s="63"/>
      <c r="H104" s="63"/>
      <c r="I104" s="63"/>
      <c r="J104" s="63">
        <v>3474.77</v>
      </c>
      <c r="K104" s="63"/>
      <c r="L104" s="63"/>
      <c r="M104" s="98">
        <f t="shared" si="35"/>
        <v>0</v>
      </c>
      <c r="N104" s="63"/>
      <c r="O104" s="98">
        <f t="shared" si="37"/>
        <v>0</v>
      </c>
      <c r="P104" s="63"/>
      <c r="Q104" s="98">
        <f t="shared" si="36"/>
        <v>0</v>
      </c>
      <c r="R104" s="63"/>
      <c r="S104" s="98">
        <f t="shared" si="36"/>
        <v>0</v>
      </c>
      <c r="T104" s="63"/>
      <c r="U104" s="98">
        <f t="shared" si="36"/>
        <v>0</v>
      </c>
      <c r="V104" s="63"/>
      <c r="W104" s="98" t="e">
        <f t="shared" si="45"/>
        <v>#DIV/0!</v>
      </c>
      <c r="X104" s="63">
        <f t="shared" si="48"/>
        <v>3474.77</v>
      </c>
      <c r="Y104" s="98">
        <f t="shared" si="43"/>
        <v>0.86869249999999998</v>
      </c>
    </row>
    <row r="105" spans="1:25" x14ac:dyDescent="0.25">
      <c r="A105" s="82" t="s">
        <v>118</v>
      </c>
      <c r="B105" s="74">
        <v>3107.5200000000004</v>
      </c>
      <c r="C105" s="54">
        <v>208.33333333333334</v>
      </c>
      <c r="D105" s="63">
        <v>2500</v>
      </c>
      <c r="E105" s="49">
        <f t="shared" si="41"/>
        <v>-0.19549994851199681</v>
      </c>
      <c r="F105" s="63"/>
      <c r="G105" s="63"/>
      <c r="H105" s="63"/>
      <c r="I105" s="63"/>
      <c r="J105" s="63"/>
      <c r="K105" s="63"/>
      <c r="L105" s="63">
        <v>183.48</v>
      </c>
      <c r="M105" s="98">
        <f t="shared" si="35"/>
        <v>0.88070399999999993</v>
      </c>
      <c r="N105" s="63">
        <v>3229.48</v>
      </c>
      <c r="O105" s="98">
        <f t="shared" si="37"/>
        <v>15.501503999999999</v>
      </c>
      <c r="P105" s="63"/>
      <c r="Q105" s="98">
        <f t="shared" si="36"/>
        <v>0</v>
      </c>
      <c r="R105" s="63"/>
      <c r="S105" s="98">
        <f t="shared" si="36"/>
        <v>0</v>
      </c>
      <c r="T105" s="63"/>
      <c r="U105" s="98">
        <f t="shared" si="36"/>
        <v>0</v>
      </c>
      <c r="V105" s="63"/>
      <c r="W105" s="98" t="e">
        <f t="shared" si="45"/>
        <v>#DIV/0!</v>
      </c>
      <c r="X105" s="63">
        <f t="shared" si="48"/>
        <v>3412.96</v>
      </c>
      <c r="Y105" s="98">
        <f t="shared" si="43"/>
        <v>1.365184</v>
      </c>
    </row>
    <row r="106" spans="1:25" x14ac:dyDescent="0.25">
      <c r="A106" s="82" t="s">
        <v>119</v>
      </c>
      <c r="B106" s="74">
        <v>1747.1999999999998</v>
      </c>
      <c r="C106" s="54">
        <v>125</v>
      </c>
      <c r="D106" s="63">
        <v>1500</v>
      </c>
      <c r="E106" s="49">
        <f t="shared" si="41"/>
        <v>-0.14148351648351642</v>
      </c>
      <c r="F106" s="63">
        <f>532.5+1829.38+31524.68</f>
        <v>33886.559999999998</v>
      </c>
      <c r="G106" s="63">
        <v>3880</v>
      </c>
      <c r="H106" s="63"/>
      <c r="I106" s="63"/>
      <c r="J106" s="63"/>
      <c r="K106" s="63"/>
      <c r="L106" s="63"/>
      <c r="M106" s="98">
        <f t="shared" si="35"/>
        <v>0</v>
      </c>
      <c r="N106" s="63"/>
      <c r="O106" s="98">
        <f t="shared" si="37"/>
        <v>0</v>
      </c>
      <c r="P106" s="63"/>
      <c r="Q106" s="98">
        <f t="shared" si="36"/>
        <v>0</v>
      </c>
      <c r="R106" s="63">
        <v>1573.18</v>
      </c>
      <c r="S106" s="98">
        <f t="shared" si="36"/>
        <v>12.58544</v>
      </c>
      <c r="T106" s="63"/>
      <c r="U106" s="98">
        <f t="shared" si="36"/>
        <v>0</v>
      </c>
      <c r="V106" s="63"/>
      <c r="W106" s="98" t="e">
        <f t="shared" si="45"/>
        <v>#DIV/0!</v>
      </c>
      <c r="X106" s="63">
        <f t="shared" si="48"/>
        <v>39339.74</v>
      </c>
      <c r="Y106" s="98">
        <f t="shared" si="43"/>
        <v>26.22649333333333</v>
      </c>
    </row>
    <row r="107" spans="1:25" x14ac:dyDescent="0.25">
      <c r="A107" s="82" t="s">
        <v>196</v>
      </c>
      <c r="B107" s="74">
        <v>2496</v>
      </c>
      <c r="C107" s="54">
        <v>250</v>
      </c>
      <c r="D107" s="63">
        <v>3000</v>
      </c>
      <c r="E107" s="49">
        <f t="shared" si="41"/>
        <v>0.20192307692307687</v>
      </c>
      <c r="F107" s="63"/>
      <c r="G107" s="63"/>
      <c r="H107" s="63">
        <v>1779</v>
      </c>
      <c r="I107" s="63">
        <f>6518.2+459.91</f>
        <v>6978.11</v>
      </c>
      <c r="J107" s="63"/>
      <c r="K107" s="63">
        <v>450</v>
      </c>
      <c r="L107" s="63"/>
      <c r="M107" s="98">
        <f t="shared" si="35"/>
        <v>0</v>
      </c>
      <c r="N107" s="63"/>
      <c r="O107" s="98">
        <f t="shared" si="37"/>
        <v>0</v>
      </c>
      <c r="P107" s="63"/>
      <c r="Q107" s="98">
        <f t="shared" si="36"/>
        <v>0</v>
      </c>
      <c r="R107" s="63">
        <v>200</v>
      </c>
      <c r="S107" s="98">
        <f t="shared" si="36"/>
        <v>0.8</v>
      </c>
      <c r="T107" s="63">
        <v>459.5</v>
      </c>
      <c r="U107" s="98">
        <f t="shared" si="36"/>
        <v>1.8380000000000001</v>
      </c>
      <c r="V107" s="63"/>
      <c r="W107" s="98">
        <f t="shared" si="45"/>
        <v>0</v>
      </c>
      <c r="X107" s="63">
        <f t="shared" si="48"/>
        <v>9866.61</v>
      </c>
      <c r="Y107" s="98">
        <f t="shared" si="43"/>
        <v>3.2888700000000002</v>
      </c>
    </row>
    <row r="108" spans="1:25" x14ac:dyDescent="0.25">
      <c r="A108" s="82" t="s">
        <v>69</v>
      </c>
      <c r="B108" s="74">
        <v>12480</v>
      </c>
      <c r="C108" s="54">
        <v>1000</v>
      </c>
      <c r="D108" s="63">
        <v>12000</v>
      </c>
      <c r="E108" s="49">
        <f t="shared" si="41"/>
        <v>-3.8461538461538436E-2</v>
      </c>
      <c r="F108" s="63"/>
      <c r="G108" s="63"/>
      <c r="H108" s="63">
        <f>3027.7-550</f>
        <v>2477.6999999999998</v>
      </c>
      <c r="I108" s="63">
        <f>9265.94-1650</f>
        <v>7615.9400000000005</v>
      </c>
      <c r="J108" s="63">
        <f>4023.44-105.96</f>
        <v>3917.48</v>
      </c>
      <c r="K108" s="63"/>
      <c r="L108" s="63"/>
      <c r="M108" s="98">
        <f t="shared" si="35"/>
        <v>0</v>
      </c>
      <c r="N108" s="63"/>
      <c r="O108" s="98">
        <f t="shared" si="37"/>
        <v>0</v>
      </c>
      <c r="P108" s="63"/>
      <c r="Q108" s="98">
        <f t="shared" si="36"/>
        <v>0</v>
      </c>
      <c r="R108" s="63"/>
      <c r="S108" s="98">
        <f t="shared" si="36"/>
        <v>0</v>
      </c>
      <c r="T108" s="63"/>
      <c r="U108" s="98">
        <f t="shared" si="36"/>
        <v>0</v>
      </c>
      <c r="V108" s="63"/>
      <c r="W108" s="98">
        <f t="shared" si="45"/>
        <v>0</v>
      </c>
      <c r="X108" s="63">
        <f t="shared" si="48"/>
        <v>14011.119999999999</v>
      </c>
      <c r="Y108" s="98">
        <f t="shared" si="43"/>
        <v>1.1675933333333333</v>
      </c>
    </row>
    <row r="109" spans="1:25" x14ac:dyDescent="0.25">
      <c r="A109" s="80" t="s">
        <v>70</v>
      </c>
      <c r="B109" s="81">
        <v>70380.430848000004</v>
      </c>
      <c r="C109" s="58">
        <v>5810</v>
      </c>
      <c r="D109" s="58">
        <f>SUM(D110:D114)</f>
        <v>81720</v>
      </c>
      <c r="E109" s="49">
        <f t="shared" si="41"/>
        <v>0.16111821163030338</v>
      </c>
      <c r="F109" s="58">
        <f>SUM(F110:F114)</f>
        <v>6871.82</v>
      </c>
      <c r="G109" s="58">
        <f t="shared" ref="G109:X109" si="49">SUM(G110:G114)</f>
        <v>6871.82</v>
      </c>
      <c r="H109" s="58">
        <f t="shared" si="49"/>
        <v>5950</v>
      </c>
      <c r="I109" s="58">
        <f t="shared" si="49"/>
        <v>6871.82</v>
      </c>
      <c r="J109" s="58">
        <f t="shared" si="49"/>
        <v>5950</v>
      </c>
      <c r="K109" s="58">
        <f t="shared" si="49"/>
        <v>6871.82</v>
      </c>
      <c r="L109" s="58">
        <f t="shared" si="49"/>
        <v>5050</v>
      </c>
      <c r="M109" s="100">
        <f t="shared" si="35"/>
        <v>0.86919104991394147</v>
      </c>
      <c r="N109" s="58">
        <f t="shared" si="49"/>
        <v>6871.82</v>
      </c>
      <c r="O109" s="100">
        <f t="shared" si="37"/>
        <v>1.1827573149741823</v>
      </c>
      <c r="P109" s="58">
        <f t="shared" si="49"/>
        <v>6850</v>
      </c>
      <c r="Q109" s="100">
        <f t="shared" si="36"/>
        <v>1.1790017211703958</v>
      </c>
      <c r="R109" s="58">
        <f t="shared" si="49"/>
        <v>6871.82</v>
      </c>
      <c r="S109" s="100">
        <f t="shared" si="36"/>
        <v>1.1827573149741823</v>
      </c>
      <c r="T109" s="58">
        <f t="shared" si="49"/>
        <v>5950</v>
      </c>
      <c r="U109" s="100">
        <f t="shared" si="36"/>
        <v>1.0240963855421688</v>
      </c>
      <c r="V109" s="58">
        <f t="shared" si="49"/>
        <v>0</v>
      </c>
      <c r="W109" s="100">
        <f t="shared" si="45"/>
        <v>0</v>
      </c>
      <c r="X109" s="58">
        <f t="shared" si="49"/>
        <v>70980.92</v>
      </c>
      <c r="Y109" s="100">
        <f t="shared" si="43"/>
        <v>0.86858688203622125</v>
      </c>
    </row>
    <row r="110" spans="1:25" x14ac:dyDescent="0.25">
      <c r="A110" s="85" t="s">
        <v>123</v>
      </c>
      <c r="B110" s="74">
        <v>16716.430848000007</v>
      </c>
      <c r="C110" s="54">
        <v>460</v>
      </c>
      <c r="D110" s="54">
        <f>C110*12</f>
        <v>5520</v>
      </c>
      <c r="E110" s="49">
        <f t="shared" si="41"/>
        <v>-0.66978596985250438</v>
      </c>
      <c r="F110" s="54">
        <v>921.82</v>
      </c>
      <c r="G110" s="54">
        <v>921.82</v>
      </c>
      <c r="H110" s="54"/>
      <c r="I110" s="54">
        <v>921.82</v>
      </c>
      <c r="J110" s="54"/>
      <c r="K110" s="54">
        <v>921.82</v>
      </c>
      <c r="L110" s="54"/>
      <c r="M110" s="97">
        <f t="shared" si="35"/>
        <v>0</v>
      </c>
      <c r="N110" s="54">
        <v>921.82</v>
      </c>
      <c r="O110" s="97">
        <f t="shared" si="37"/>
        <v>2.0039565217391306</v>
      </c>
      <c r="P110" s="54"/>
      <c r="Q110" s="97">
        <f t="shared" si="36"/>
        <v>0</v>
      </c>
      <c r="R110" s="54">
        <v>921.82</v>
      </c>
      <c r="S110" s="97">
        <f t="shared" si="36"/>
        <v>2.0039565217391306</v>
      </c>
      <c r="T110" s="54"/>
      <c r="U110" s="97">
        <f t="shared" si="36"/>
        <v>0</v>
      </c>
      <c r="V110" s="54"/>
      <c r="W110" s="97">
        <f t="shared" si="45"/>
        <v>0</v>
      </c>
      <c r="X110" s="54">
        <f>V110+T110+R110+P110+N110+L110+K110+J110+I110+H110+G110+F110</f>
        <v>5530.92</v>
      </c>
      <c r="Y110" s="97">
        <f t="shared" si="43"/>
        <v>1.0019782608695653</v>
      </c>
    </row>
    <row r="111" spans="1:25" x14ac:dyDescent="0.25">
      <c r="A111" s="85" t="s">
        <v>71</v>
      </c>
      <c r="B111" s="74">
        <v>0</v>
      </c>
      <c r="C111" s="54"/>
      <c r="D111" s="54">
        <v>12000</v>
      </c>
      <c r="E111" s="49">
        <f t="shared" si="41"/>
        <v>0</v>
      </c>
      <c r="F111" s="54">
        <v>900</v>
      </c>
      <c r="G111" s="54">
        <v>900</v>
      </c>
      <c r="H111" s="54">
        <v>900</v>
      </c>
      <c r="I111" s="54">
        <v>900</v>
      </c>
      <c r="J111" s="54">
        <v>900</v>
      </c>
      <c r="K111" s="54">
        <v>900</v>
      </c>
      <c r="L111" s="54"/>
      <c r="M111" s="97" t="e">
        <f t="shared" si="35"/>
        <v>#DIV/0!</v>
      </c>
      <c r="N111" s="54">
        <v>900</v>
      </c>
      <c r="O111" s="97" t="e">
        <f t="shared" si="37"/>
        <v>#DIV/0!</v>
      </c>
      <c r="P111" s="54">
        <v>1800</v>
      </c>
      <c r="Q111" s="97" t="e">
        <f t="shared" si="36"/>
        <v>#DIV/0!</v>
      </c>
      <c r="R111" s="54">
        <v>900</v>
      </c>
      <c r="S111" s="97" t="e">
        <f t="shared" si="36"/>
        <v>#DIV/0!</v>
      </c>
      <c r="T111" s="54">
        <v>900</v>
      </c>
      <c r="U111" s="97" t="e">
        <f t="shared" si="36"/>
        <v>#DIV/0!</v>
      </c>
      <c r="V111" s="54"/>
      <c r="W111" s="97">
        <f t="shared" si="45"/>
        <v>0</v>
      </c>
      <c r="X111" s="54">
        <f>V111+T111+R111+P111+N111+L111+K111+J111+I111+H111+G111+F111</f>
        <v>9900</v>
      </c>
      <c r="Y111" s="97">
        <f t="shared" si="43"/>
        <v>0.82499999999999996</v>
      </c>
    </row>
    <row r="112" spans="1:25" x14ac:dyDescent="0.25">
      <c r="A112" s="85" t="s">
        <v>72</v>
      </c>
      <c r="B112" s="74">
        <v>37440</v>
      </c>
      <c r="C112" s="54">
        <v>3650</v>
      </c>
      <c r="D112" s="54">
        <f t="shared" ref="D112:D114" si="50">C112*12</f>
        <v>43800</v>
      </c>
      <c r="E112" s="49">
        <f t="shared" si="41"/>
        <v>0.16987179487179493</v>
      </c>
      <c r="F112" s="54">
        <v>3650</v>
      </c>
      <c r="G112" s="54">
        <v>3650</v>
      </c>
      <c r="H112" s="54">
        <v>3650</v>
      </c>
      <c r="I112" s="54">
        <v>3650</v>
      </c>
      <c r="J112" s="54">
        <v>3650</v>
      </c>
      <c r="K112" s="54">
        <v>3650</v>
      </c>
      <c r="L112" s="54">
        <v>3650</v>
      </c>
      <c r="M112" s="97">
        <f t="shared" si="35"/>
        <v>1</v>
      </c>
      <c r="N112" s="54">
        <v>3650</v>
      </c>
      <c r="O112" s="97">
        <f t="shared" si="37"/>
        <v>1</v>
      </c>
      <c r="P112" s="54">
        <v>3650</v>
      </c>
      <c r="Q112" s="97">
        <f t="shared" si="36"/>
        <v>1</v>
      </c>
      <c r="R112" s="54">
        <v>3650</v>
      </c>
      <c r="S112" s="97">
        <f t="shared" si="36"/>
        <v>1</v>
      </c>
      <c r="T112" s="54">
        <v>3650</v>
      </c>
      <c r="U112" s="97">
        <f t="shared" si="36"/>
        <v>1</v>
      </c>
      <c r="V112" s="54"/>
      <c r="W112" s="97">
        <f t="shared" si="45"/>
        <v>0</v>
      </c>
      <c r="X112" s="54">
        <f>V112+T112+R112+P112+N112+L112+K112+J112+I112+H112+G112+F112</f>
        <v>40150</v>
      </c>
      <c r="Y112" s="97">
        <f t="shared" si="43"/>
        <v>0.91666666666666663</v>
      </c>
    </row>
    <row r="113" spans="1:25" x14ac:dyDescent="0.25">
      <c r="A113" s="85" t="s">
        <v>73</v>
      </c>
      <c r="B113" s="74">
        <v>16224</v>
      </c>
      <c r="C113" s="54">
        <v>1450</v>
      </c>
      <c r="D113" s="54">
        <f t="shared" si="50"/>
        <v>17400</v>
      </c>
      <c r="E113" s="49">
        <f t="shared" si="41"/>
        <v>7.2485207100591698E-2</v>
      </c>
      <c r="F113" s="54">
        <v>1400</v>
      </c>
      <c r="G113" s="54">
        <v>1400</v>
      </c>
      <c r="H113" s="54">
        <v>1400</v>
      </c>
      <c r="I113" s="54">
        <v>1400</v>
      </c>
      <c r="J113" s="54">
        <v>1400</v>
      </c>
      <c r="K113" s="54">
        <v>1400</v>
      </c>
      <c r="L113" s="54">
        <v>1400</v>
      </c>
      <c r="M113" s="97">
        <f t="shared" si="35"/>
        <v>0.96551724137931039</v>
      </c>
      <c r="N113" s="54">
        <v>1400</v>
      </c>
      <c r="O113" s="97">
        <f t="shared" si="37"/>
        <v>0.96551724137931039</v>
      </c>
      <c r="P113" s="54">
        <v>1400</v>
      </c>
      <c r="Q113" s="97">
        <f t="shared" si="36"/>
        <v>0.96551724137931039</v>
      </c>
      <c r="R113" s="54">
        <v>1400</v>
      </c>
      <c r="S113" s="97">
        <f t="shared" si="36"/>
        <v>0.96551724137931039</v>
      </c>
      <c r="T113" s="54">
        <v>1400</v>
      </c>
      <c r="U113" s="97">
        <f t="shared" si="36"/>
        <v>0.96551724137931039</v>
      </c>
      <c r="V113" s="54"/>
      <c r="W113" s="97">
        <f t="shared" si="45"/>
        <v>0</v>
      </c>
      <c r="X113" s="54">
        <f>V113+T113+R113+P113+N113+L113+K113+J113+I113+H113+G113+F113</f>
        <v>15400</v>
      </c>
      <c r="Y113" s="97">
        <f t="shared" si="43"/>
        <v>0.88505747126436785</v>
      </c>
    </row>
    <row r="114" spans="1:25" x14ac:dyDescent="0.25">
      <c r="A114" s="85" t="s">
        <v>174</v>
      </c>
      <c r="B114" s="74">
        <v>0</v>
      </c>
      <c r="C114" s="54">
        <v>250</v>
      </c>
      <c r="D114" s="54">
        <f t="shared" si="50"/>
        <v>3000</v>
      </c>
      <c r="E114" s="49">
        <f t="shared" si="41"/>
        <v>0</v>
      </c>
      <c r="F114" s="54">
        <v>0</v>
      </c>
      <c r="G114" s="54"/>
      <c r="H114" s="54"/>
      <c r="I114" s="54"/>
      <c r="J114" s="54"/>
      <c r="K114" s="54"/>
      <c r="L114" s="54"/>
      <c r="M114" s="97">
        <f t="shared" si="35"/>
        <v>0</v>
      </c>
      <c r="N114" s="54"/>
      <c r="O114" s="97">
        <f t="shared" si="37"/>
        <v>0</v>
      </c>
      <c r="P114" s="54"/>
      <c r="Q114" s="97">
        <f t="shared" si="36"/>
        <v>0</v>
      </c>
      <c r="R114" s="54"/>
      <c r="S114" s="97">
        <f t="shared" si="36"/>
        <v>0</v>
      </c>
      <c r="T114" s="54"/>
      <c r="U114" s="97">
        <f t="shared" si="36"/>
        <v>0</v>
      </c>
      <c r="V114" s="54"/>
      <c r="W114" s="97" t="e">
        <f t="shared" si="45"/>
        <v>#DIV/0!</v>
      </c>
      <c r="X114" s="54">
        <f>V114+T114+R114+P114+N114+L114+K114+J114+I114+H114+G114+F114</f>
        <v>0</v>
      </c>
      <c r="Y114" s="97">
        <f t="shared" si="43"/>
        <v>0</v>
      </c>
    </row>
    <row r="115" spans="1:25" x14ac:dyDescent="0.25">
      <c r="A115" s="79" t="s">
        <v>74</v>
      </c>
      <c r="B115" s="76">
        <v>521000.00233066658</v>
      </c>
      <c r="C115" s="57">
        <v>54166.666666666664</v>
      </c>
      <c r="D115" s="57">
        <f>D116</f>
        <v>650000</v>
      </c>
      <c r="E115" s="49">
        <f t="shared" si="41"/>
        <v>0.24760076217324101</v>
      </c>
      <c r="F115" s="57">
        <f>F116</f>
        <v>34689.06</v>
      </c>
      <c r="G115" s="57">
        <f t="shared" ref="G115:X115" si="51">G116</f>
        <v>41927.46</v>
      </c>
      <c r="H115" s="57">
        <f t="shared" si="51"/>
        <v>49903.519999999997</v>
      </c>
      <c r="I115" s="57">
        <f t="shared" si="51"/>
        <v>55389.36</v>
      </c>
      <c r="J115" s="57">
        <f t="shared" si="51"/>
        <v>35403.779999999992</v>
      </c>
      <c r="K115" s="57">
        <f t="shared" si="51"/>
        <v>39675.679999999993</v>
      </c>
      <c r="L115" s="57">
        <f t="shared" si="51"/>
        <v>50014.86</v>
      </c>
      <c r="M115" s="99">
        <f t="shared" si="35"/>
        <v>0.92335126153846159</v>
      </c>
      <c r="N115" s="57">
        <f t="shared" si="51"/>
        <v>83042.289999999994</v>
      </c>
      <c r="O115" s="99">
        <f t="shared" si="37"/>
        <v>1.5330884307692307</v>
      </c>
      <c r="P115" s="57">
        <f t="shared" si="51"/>
        <v>47431.19</v>
      </c>
      <c r="Q115" s="99">
        <f t="shared" si="36"/>
        <v>0.87565273846153857</v>
      </c>
      <c r="R115" s="57">
        <f t="shared" si="51"/>
        <v>43662.100000000006</v>
      </c>
      <c r="S115" s="99">
        <f t="shared" si="36"/>
        <v>0.80606953846153861</v>
      </c>
      <c r="T115" s="57">
        <f t="shared" si="51"/>
        <v>36984.42</v>
      </c>
      <c r="U115" s="99">
        <f t="shared" si="36"/>
        <v>0.68278929230769225</v>
      </c>
      <c r="V115" s="57">
        <f t="shared" si="51"/>
        <v>0</v>
      </c>
      <c r="W115" s="99">
        <f t="shared" si="45"/>
        <v>0</v>
      </c>
      <c r="X115" s="57">
        <f t="shared" si="51"/>
        <v>518123.72000000003</v>
      </c>
      <c r="Y115" s="99">
        <f t="shared" si="43"/>
        <v>0.79711341538461544</v>
      </c>
    </row>
    <row r="116" spans="1:25" x14ac:dyDescent="0.25">
      <c r="A116" s="80" t="s">
        <v>75</v>
      </c>
      <c r="B116" s="81">
        <v>521000.00233066658</v>
      </c>
      <c r="C116" s="58">
        <v>54166.666666666664</v>
      </c>
      <c r="D116" s="58">
        <f>SUM(D117:D133)</f>
        <v>650000</v>
      </c>
      <c r="E116" s="49">
        <f t="shared" si="41"/>
        <v>0.24760076217324101</v>
      </c>
      <c r="F116" s="58">
        <f>SUM(F117:F133)</f>
        <v>34689.06</v>
      </c>
      <c r="G116" s="58">
        <f t="shared" ref="G116:X116" si="52">SUM(G117:G133)</f>
        <v>41927.46</v>
      </c>
      <c r="H116" s="58">
        <f t="shared" si="52"/>
        <v>49903.519999999997</v>
      </c>
      <c r="I116" s="58">
        <f t="shared" si="52"/>
        <v>55389.36</v>
      </c>
      <c r="J116" s="58">
        <f t="shared" si="52"/>
        <v>35403.779999999992</v>
      </c>
      <c r="K116" s="58">
        <f t="shared" si="52"/>
        <v>39675.679999999993</v>
      </c>
      <c r="L116" s="58">
        <f t="shared" si="52"/>
        <v>50014.86</v>
      </c>
      <c r="M116" s="100">
        <f t="shared" si="35"/>
        <v>0.92335126153846159</v>
      </c>
      <c r="N116" s="58">
        <f t="shared" si="52"/>
        <v>83042.289999999994</v>
      </c>
      <c r="O116" s="100">
        <f t="shared" si="37"/>
        <v>1.5330884307692307</v>
      </c>
      <c r="P116" s="58">
        <f t="shared" si="52"/>
        <v>47431.19</v>
      </c>
      <c r="Q116" s="100">
        <f t="shared" si="36"/>
        <v>0.87565273846153857</v>
      </c>
      <c r="R116" s="58">
        <f t="shared" si="52"/>
        <v>43662.100000000006</v>
      </c>
      <c r="S116" s="100">
        <f t="shared" si="36"/>
        <v>0.80606953846153861</v>
      </c>
      <c r="T116" s="58">
        <f t="shared" si="52"/>
        <v>36984.42</v>
      </c>
      <c r="U116" s="100">
        <f t="shared" si="36"/>
        <v>0.68278929230769225</v>
      </c>
      <c r="V116" s="58">
        <f t="shared" si="52"/>
        <v>0</v>
      </c>
      <c r="W116" s="100">
        <f t="shared" si="45"/>
        <v>0</v>
      </c>
      <c r="X116" s="58">
        <f t="shared" si="52"/>
        <v>518123.72000000003</v>
      </c>
      <c r="Y116" s="100">
        <f t="shared" si="43"/>
        <v>0.79711341538461544</v>
      </c>
    </row>
    <row r="117" spans="1:25" x14ac:dyDescent="0.25">
      <c r="A117" s="85" t="s">
        <v>76</v>
      </c>
      <c r="B117" s="74">
        <v>47424</v>
      </c>
      <c r="C117" s="54">
        <v>4000</v>
      </c>
      <c r="D117" s="63">
        <v>48000</v>
      </c>
      <c r="E117" s="49">
        <f t="shared" ref="E117:E148" si="53">IFERROR((D117/B117)-1,0)</f>
        <v>1.2145748987854255E-2</v>
      </c>
      <c r="F117" s="63">
        <v>11252.7</v>
      </c>
      <c r="G117" s="63"/>
      <c r="H117" s="63"/>
      <c r="I117" s="63">
        <v>19440</v>
      </c>
      <c r="J117" s="63"/>
      <c r="K117" s="63">
        <v>3741.79</v>
      </c>
      <c r="L117" s="63">
        <v>16716.25</v>
      </c>
      <c r="M117" s="98">
        <f t="shared" si="35"/>
        <v>4.1790624999999997</v>
      </c>
      <c r="N117" s="63">
        <v>33132.92</v>
      </c>
      <c r="O117" s="98">
        <f t="shared" si="37"/>
        <v>8.2832299999999996</v>
      </c>
      <c r="P117" s="63"/>
      <c r="Q117" s="98">
        <f t="shared" si="36"/>
        <v>0</v>
      </c>
      <c r="R117" s="63"/>
      <c r="S117" s="98">
        <f t="shared" si="36"/>
        <v>0</v>
      </c>
      <c r="T117" s="63"/>
      <c r="U117" s="98">
        <f t="shared" si="36"/>
        <v>0</v>
      </c>
      <c r="V117" s="63"/>
      <c r="W117" s="98">
        <f t="shared" si="45"/>
        <v>0</v>
      </c>
      <c r="X117" s="63">
        <f t="shared" ref="X117:X133" si="54">V117+T117+R117+P117+N117+L117+K117+J117+I117+H117+G117+F117</f>
        <v>84283.659999999989</v>
      </c>
      <c r="Y117" s="98">
        <f t="shared" ref="Y117:Y148" si="55">X117/D117</f>
        <v>1.7559095833333331</v>
      </c>
    </row>
    <row r="118" spans="1:25" x14ac:dyDescent="0.25">
      <c r="A118" s="85" t="s">
        <v>77</v>
      </c>
      <c r="B118" s="74">
        <v>145580.8224</v>
      </c>
      <c r="C118" s="54">
        <v>14500</v>
      </c>
      <c r="D118" s="63">
        <f>C118*12</f>
        <v>174000</v>
      </c>
      <c r="E118" s="49">
        <f t="shared" si="53"/>
        <v>0.19521237159874705</v>
      </c>
      <c r="F118" s="63">
        <f>13055.82-4107.89</f>
        <v>8947.93</v>
      </c>
      <c r="G118" s="63">
        <f>14332.06-4142.69</f>
        <v>10189.369999999999</v>
      </c>
      <c r="H118" s="63">
        <f>16135.48-4138.12</f>
        <v>11997.36</v>
      </c>
      <c r="I118" s="63">
        <f>16830.12-177.6</f>
        <v>16652.52</v>
      </c>
      <c r="J118" s="63">
        <f>20247.44-8827.38</f>
        <v>11420.06</v>
      </c>
      <c r="K118" s="63">
        <f>17178.83-4723.33</f>
        <v>12455.500000000002</v>
      </c>
      <c r="L118" s="63">
        <f>16295.8-4547.24+400</f>
        <v>12148.56</v>
      </c>
      <c r="M118" s="98">
        <f t="shared" si="35"/>
        <v>0.83783172413793094</v>
      </c>
      <c r="N118" s="63">
        <f>16193.94-4225.42</f>
        <v>11968.52</v>
      </c>
      <c r="O118" s="98">
        <f t="shared" si="37"/>
        <v>0.82541517241379314</v>
      </c>
      <c r="P118" s="63">
        <f>18733.77-4498.98</f>
        <v>14234.79</v>
      </c>
      <c r="Q118" s="98">
        <f t="shared" si="36"/>
        <v>0.98170965517241382</v>
      </c>
      <c r="R118" s="63">
        <f>20023.95-4553.34</f>
        <v>15470.61</v>
      </c>
      <c r="S118" s="98">
        <f t="shared" si="36"/>
        <v>1.0669386206896552</v>
      </c>
      <c r="T118" s="63">
        <f>16681.23-4078.24</f>
        <v>12602.99</v>
      </c>
      <c r="U118" s="98">
        <f t="shared" si="36"/>
        <v>0.86917172413793098</v>
      </c>
      <c r="V118" s="63"/>
      <c r="W118" s="98">
        <f t="shared" si="45"/>
        <v>0</v>
      </c>
      <c r="X118" s="63">
        <f t="shared" si="54"/>
        <v>138088.21</v>
      </c>
      <c r="Y118" s="98">
        <f t="shared" si="55"/>
        <v>0.79361040229885049</v>
      </c>
    </row>
    <row r="119" spans="1:25" x14ac:dyDescent="0.25">
      <c r="A119" s="85" t="s">
        <v>32</v>
      </c>
      <c r="B119" s="74">
        <v>73279.814400000003</v>
      </c>
      <c r="C119" s="54">
        <v>6650</v>
      </c>
      <c r="D119" s="63">
        <f t="shared" ref="D119:D124" si="56">C119*12</f>
        <v>79800</v>
      </c>
      <c r="E119" s="49">
        <f t="shared" si="53"/>
        <v>8.8976557233201747E-2</v>
      </c>
      <c r="F119" s="63">
        <f>3774.16+1184.05+184.3</f>
        <v>5142.51</v>
      </c>
      <c r="G119" s="63">
        <f>3618.28+1135.14+178.47</f>
        <v>4931.8900000000003</v>
      </c>
      <c r="H119" s="63">
        <f>4079.33+1279.79+201.44</f>
        <v>5560.5599999999995</v>
      </c>
      <c r="I119" s="63">
        <f>4246.39+1332.2+209.36</f>
        <v>5787.95</v>
      </c>
      <c r="J119" s="63">
        <f>5163.09+1619.86+267.8</f>
        <v>7050.75</v>
      </c>
      <c r="K119" s="63">
        <f>4468.07+1401.73+193.55</f>
        <v>6063.3499999999995</v>
      </c>
      <c r="L119" s="63">
        <f>5848.97+1834.95+248.21</f>
        <v>7932.13</v>
      </c>
      <c r="M119" s="98">
        <f t="shared" si="35"/>
        <v>1.1928015037593984</v>
      </c>
      <c r="N119" s="63">
        <f>4290.32+1345.97+211.84</f>
        <v>5848.13</v>
      </c>
      <c r="O119" s="98">
        <f t="shared" si="37"/>
        <v>0.87941804511278199</v>
      </c>
      <c r="P119" s="63">
        <f>4777.03+1498.67+232.25</f>
        <v>6507.95</v>
      </c>
      <c r="Q119" s="98">
        <f t="shared" si="36"/>
        <v>0.97863909774436086</v>
      </c>
      <c r="R119" s="63">
        <f>6036.55+1893.8+259.69</f>
        <v>8190.04</v>
      </c>
      <c r="S119" s="98">
        <f t="shared" si="36"/>
        <v>1.2315849624060151</v>
      </c>
      <c r="T119" s="63">
        <f>4301.64+2260.05+194.89</f>
        <v>6756.5800000000008</v>
      </c>
      <c r="U119" s="98">
        <f t="shared" si="36"/>
        <v>1.0160270676691732</v>
      </c>
      <c r="V119" s="63"/>
      <c r="W119" s="98">
        <f t="shared" si="45"/>
        <v>0</v>
      </c>
      <c r="X119" s="63">
        <f t="shared" si="54"/>
        <v>69771.839999999997</v>
      </c>
      <c r="Y119" s="98">
        <f t="shared" si="55"/>
        <v>0.87433383458646607</v>
      </c>
    </row>
    <row r="120" spans="1:25" x14ac:dyDescent="0.25">
      <c r="A120" s="85" t="s">
        <v>78</v>
      </c>
      <c r="B120" s="74">
        <v>18404.5056</v>
      </c>
      <c r="C120" s="54">
        <v>2075</v>
      </c>
      <c r="D120" s="63">
        <f t="shared" si="56"/>
        <v>24900</v>
      </c>
      <c r="E120" s="49">
        <f t="shared" si="53"/>
        <v>0.35292957828761229</v>
      </c>
      <c r="F120" s="63"/>
      <c r="G120" s="63"/>
      <c r="H120" s="63"/>
      <c r="I120" s="63"/>
      <c r="J120" s="63"/>
      <c r="K120" s="63"/>
      <c r="L120" s="63"/>
      <c r="M120" s="98">
        <f t="shared" si="35"/>
        <v>0</v>
      </c>
      <c r="N120" s="63"/>
      <c r="O120" s="98">
        <f t="shared" si="37"/>
        <v>0</v>
      </c>
      <c r="P120" s="63"/>
      <c r="Q120" s="98">
        <f t="shared" si="36"/>
        <v>0</v>
      </c>
      <c r="R120" s="63"/>
      <c r="S120" s="98">
        <f t="shared" si="36"/>
        <v>0</v>
      </c>
      <c r="T120" s="63"/>
      <c r="U120" s="98">
        <f t="shared" si="36"/>
        <v>0</v>
      </c>
      <c r="V120" s="63"/>
      <c r="W120" s="98" t="e">
        <f t="shared" si="45"/>
        <v>#DIV/0!</v>
      </c>
      <c r="X120" s="63">
        <f t="shared" si="54"/>
        <v>0</v>
      </c>
      <c r="Y120" s="98">
        <f t="shared" si="55"/>
        <v>0</v>
      </c>
    </row>
    <row r="121" spans="1:25" x14ac:dyDescent="0.25">
      <c r="A121" s="85" t="s">
        <v>79</v>
      </c>
      <c r="B121" s="74">
        <v>20841.599999999999</v>
      </c>
      <c r="C121" s="54">
        <v>200</v>
      </c>
      <c r="D121" s="63">
        <f t="shared" si="56"/>
        <v>2400</v>
      </c>
      <c r="E121" s="49">
        <f t="shared" si="53"/>
        <v>-0.88484569322892681</v>
      </c>
      <c r="F121" s="63"/>
      <c r="G121" s="63">
        <v>11160</v>
      </c>
      <c r="H121" s="63"/>
      <c r="I121" s="63"/>
      <c r="J121" s="63"/>
      <c r="K121" s="63"/>
      <c r="L121" s="63"/>
      <c r="M121" s="98">
        <f t="shared" si="35"/>
        <v>0</v>
      </c>
      <c r="N121" s="63"/>
      <c r="O121" s="98">
        <f t="shared" si="37"/>
        <v>0</v>
      </c>
      <c r="P121" s="63">
        <v>8080</v>
      </c>
      <c r="Q121" s="98">
        <f t="shared" si="36"/>
        <v>40.4</v>
      </c>
      <c r="R121" s="63"/>
      <c r="S121" s="98">
        <f t="shared" si="36"/>
        <v>0</v>
      </c>
      <c r="T121" s="63"/>
      <c r="U121" s="98">
        <f t="shared" si="36"/>
        <v>0</v>
      </c>
      <c r="V121" s="63"/>
      <c r="W121" s="98" t="e">
        <f t="shared" ref="W121:W152" si="57">V121/I121</f>
        <v>#DIV/0!</v>
      </c>
      <c r="X121" s="63">
        <f t="shared" si="54"/>
        <v>19240</v>
      </c>
      <c r="Y121" s="98">
        <f t="shared" si="55"/>
        <v>8.0166666666666675</v>
      </c>
    </row>
    <row r="122" spans="1:25" x14ac:dyDescent="0.25">
      <c r="A122" s="85" t="s">
        <v>80</v>
      </c>
      <c r="B122" s="74">
        <v>29935.290666666668</v>
      </c>
      <c r="C122" s="54">
        <v>695</v>
      </c>
      <c r="D122" s="63">
        <f t="shared" si="56"/>
        <v>8340</v>
      </c>
      <c r="E122" s="49">
        <f t="shared" si="53"/>
        <v>-0.72139906397211973</v>
      </c>
      <c r="F122" s="63">
        <v>1852.73</v>
      </c>
      <c r="G122" s="63"/>
      <c r="H122" s="63"/>
      <c r="I122" s="63"/>
      <c r="J122" s="63"/>
      <c r="K122" s="63">
        <v>343.03</v>
      </c>
      <c r="L122" s="63">
        <v>6319.61</v>
      </c>
      <c r="M122" s="98">
        <f t="shared" si="35"/>
        <v>9.0929640287769775</v>
      </c>
      <c r="N122" s="63">
        <v>230.88</v>
      </c>
      <c r="O122" s="98">
        <f t="shared" si="37"/>
        <v>0.33220143884892084</v>
      </c>
      <c r="P122" s="63"/>
      <c r="Q122" s="98">
        <f t="shared" si="36"/>
        <v>0</v>
      </c>
      <c r="R122" s="63">
        <f>3727.04</f>
        <v>3727.04</v>
      </c>
      <c r="S122" s="98">
        <f t="shared" si="36"/>
        <v>5.3626474820143883</v>
      </c>
      <c r="T122" s="63">
        <v>266.20999999999998</v>
      </c>
      <c r="U122" s="98">
        <f t="shared" si="36"/>
        <v>0.38303597122302158</v>
      </c>
      <c r="V122" s="63"/>
      <c r="W122" s="98" t="e">
        <f t="shared" si="57"/>
        <v>#DIV/0!</v>
      </c>
      <c r="X122" s="63">
        <f t="shared" si="54"/>
        <v>12739.5</v>
      </c>
      <c r="Y122" s="98">
        <f t="shared" si="55"/>
        <v>1.5275179856115109</v>
      </c>
    </row>
    <row r="123" spans="1:25" x14ac:dyDescent="0.25">
      <c r="A123" s="85" t="s">
        <v>33</v>
      </c>
      <c r="B123" s="74">
        <v>16793.990000000002</v>
      </c>
      <c r="C123" s="54">
        <v>1450</v>
      </c>
      <c r="D123" s="63">
        <f t="shared" si="56"/>
        <v>17400</v>
      </c>
      <c r="E123" s="49">
        <f t="shared" si="53"/>
        <v>3.6084932764637756E-2</v>
      </c>
      <c r="F123" s="63"/>
      <c r="G123" s="63"/>
      <c r="H123" s="63"/>
      <c r="I123" s="63"/>
      <c r="J123" s="63"/>
      <c r="K123" s="63"/>
      <c r="L123" s="63"/>
      <c r="M123" s="98">
        <f t="shared" si="35"/>
        <v>0</v>
      </c>
      <c r="N123" s="63"/>
      <c r="O123" s="98">
        <f t="shared" si="37"/>
        <v>0</v>
      </c>
      <c r="P123" s="63"/>
      <c r="Q123" s="98">
        <f t="shared" si="36"/>
        <v>0</v>
      </c>
      <c r="R123" s="63"/>
      <c r="S123" s="98">
        <f t="shared" si="36"/>
        <v>0</v>
      </c>
      <c r="T123" s="63"/>
      <c r="U123" s="98">
        <f t="shared" si="36"/>
        <v>0</v>
      </c>
      <c r="V123" s="63"/>
      <c r="W123" s="98" t="e">
        <f t="shared" si="57"/>
        <v>#DIV/0!</v>
      </c>
      <c r="X123" s="63">
        <f t="shared" si="54"/>
        <v>0</v>
      </c>
      <c r="Y123" s="98">
        <f t="shared" si="55"/>
        <v>0</v>
      </c>
    </row>
    <row r="124" spans="1:25" ht="30" x14ac:dyDescent="0.25">
      <c r="A124" s="85" t="s">
        <v>81</v>
      </c>
      <c r="B124" s="74">
        <v>42304.952490666677</v>
      </c>
      <c r="C124" s="54">
        <v>3500</v>
      </c>
      <c r="D124" s="63">
        <f t="shared" si="56"/>
        <v>42000</v>
      </c>
      <c r="E124" s="49">
        <f t="shared" si="53"/>
        <v>-7.2084347744855171E-3</v>
      </c>
      <c r="F124" s="63">
        <f>586.88+766.42-159.84+652.2-8+441.68+1378-8</f>
        <v>3649.34</v>
      </c>
      <c r="G124" s="63">
        <f>586.88+785.76-159.84+726-10+462.65+1456-10</f>
        <v>3837.45</v>
      </c>
      <c r="H124" s="63">
        <f>586.88+529.25-159.84+848.84-12+462.65+2288-12</f>
        <v>4531.7800000000007</v>
      </c>
      <c r="I124" s="63">
        <f>586.88+237.31-159.84+790.08-10+535.02+2080-10</f>
        <v>4049.45</v>
      </c>
      <c r="J124" s="63">
        <f>586.88+799.56-166.86+794.82-12+1872-12+535.02</f>
        <v>4397.42</v>
      </c>
      <c r="K124" s="63">
        <f>586.88+867.17-166.86+788.34-12+535.02+2028-12</f>
        <v>4614.55</v>
      </c>
      <c r="L124" s="63">
        <f>586.88+541.1-166.86+788.34-12+535.02+1961.06-12</f>
        <v>4221.54</v>
      </c>
      <c r="M124" s="98">
        <f t="shared" si="35"/>
        <v>1.2061542857142857</v>
      </c>
      <c r="N124" s="63">
        <f>586.88+336.18-166.86+788.34-12+529.94+2106-12</f>
        <v>4156.4799999999996</v>
      </c>
      <c r="O124" s="98">
        <f t="shared" si="37"/>
        <v>1.1875657142857141</v>
      </c>
      <c r="P124" s="63">
        <f>586.88+788.34-12+555.18+1933.06-12</f>
        <v>3839.46</v>
      </c>
      <c r="Q124" s="98">
        <f t="shared" si="36"/>
        <v>1.0969885714285714</v>
      </c>
      <c r="R124" s="63">
        <f>586.88+541.1-166.86+788.34-10+555.18+2564-10</f>
        <v>4848.6399999999994</v>
      </c>
      <c r="S124" s="98">
        <f t="shared" si="36"/>
        <v>1.385325714285714</v>
      </c>
      <c r="T124" s="63">
        <f>586.88+454.6-166.86+1261.95-10+555.18+1560-10</f>
        <v>4231.75</v>
      </c>
      <c r="U124" s="98">
        <f t="shared" si="36"/>
        <v>1.2090714285714286</v>
      </c>
      <c r="V124" s="63"/>
      <c r="W124" s="98">
        <f t="shared" si="57"/>
        <v>0</v>
      </c>
      <c r="X124" s="63">
        <f t="shared" si="54"/>
        <v>46377.859999999986</v>
      </c>
      <c r="Y124" s="98">
        <f t="shared" si="55"/>
        <v>1.1042347619047617</v>
      </c>
    </row>
    <row r="125" spans="1:25" x14ac:dyDescent="0.25">
      <c r="A125" s="85" t="s">
        <v>82</v>
      </c>
      <c r="B125" s="74">
        <v>30447.934122666673</v>
      </c>
      <c r="C125" s="54">
        <v>1000</v>
      </c>
      <c r="D125" s="63">
        <v>12000</v>
      </c>
      <c r="E125" s="49">
        <f t="shared" si="53"/>
        <v>-0.60588459132711026</v>
      </c>
      <c r="F125" s="63"/>
      <c r="G125" s="63"/>
      <c r="H125" s="63">
        <v>6698.36</v>
      </c>
      <c r="I125" s="63"/>
      <c r="J125" s="63">
        <v>1620.12</v>
      </c>
      <c r="K125" s="63"/>
      <c r="L125" s="63">
        <v>742.23</v>
      </c>
      <c r="M125" s="98">
        <f t="shared" si="35"/>
        <v>0.74223000000000006</v>
      </c>
      <c r="N125" s="63">
        <f>13262.48+4000</f>
        <v>17262.48</v>
      </c>
      <c r="O125" s="98">
        <f t="shared" si="37"/>
        <v>17.26248</v>
      </c>
      <c r="P125" s="63">
        <v>508.2</v>
      </c>
      <c r="Q125" s="98">
        <f t="shared" si="36"/>
        <v>0.50819999999999999</v>
      </c>
      <c r="R125" s="63">
        <f>10440.99-11527</f>
        <v>-1086.0100000000002</v>
      </c>
      <c r="S125" s="98">
        <f t="shared" si="36"/>
        <v>-1.0860100000000001</v>
      </c>
      <c r="T125" s="63">
        <v>896.89</v>
      </c>
      <c r="U125" s="98">
        <f t="shared" si="36"/>
        <v>0.89688999999999997</v>
      </c>
      <c r="V125" s="63"/>
      <c r="W125" s="98" t="e">
        <f t="shared" si="57"/>
        <v>#DIV/0!</v>
      </c>
      <c r="X125" s="63">
        <f t="shared" si="54"/>
        <v>26642.269999999997</v>
      </c>
      <c r="Y125" s="98">
        <f t="shared" si="55"/>
        <v>2.2201891666666662</v>
      </c>
    </row>
    <row r="126" spans="1:25" x14ac:dyDescent="0.25">
      <c r="A126" s="85" t="s">
        <v>83</v>
      </c>
      <c r="B126" s="74">
        <v>10000</v>
      </c>
      <c r="C126" s="54">
        <v>3000</v>
      </c>
      <c r="D126" s="63">
        <v>36000</v>
      </c>
      <c r="E126" s="49">
        <f t="shared" si="53"/>
        <v>2.6</v>
      </c>
      <c r="F126" s="63"/>
      <c r="G126" s="63"/>
      <c r="H126" s="63"/>
      <c r="I126" s="63"/>
      <c r="J126" s="63"/>
      <c r="K126" s="63"/>
      <c r="L126" s="63"/>
      <c r="M126" s="98">
        <f t="shared" si="35"/>
        <v>0</v>
      </c>
      <c r="N126" s="63"/>
      <c r="O126" s="98">
        <f t="shared" si="37"/>
        <v>0</v>
      </c>
      <c r="P126" s="63"/>
      <c r="Q126" s="98">
        <f t="shared" si="36"/>
        <v>0</v>
      </c>
      <c r="R126" s="63"/>
      <c r="S126" s="98">
        <f t="shared" si="36"/>
        <v>0</v>
      </c>
      <c r="T126" s="63"/>
      <c r="U126" s="98">
        <f t="shared" si="36"/>
        <v>0</v>
      </c>
      <c r="V126" s="63"/>
      <c r="W126" s="98" t="e">
        <f t="shared" si="57"/>
        <v>#DIV/0!</v>
      </c>
      <c r="X126" s="63">
        <f t="shared" si="54"/>
        <v>0</v>
      </c>
      <c r="Y126" s="98">
        <f t="shared" si="55"/>
        <v>0</v>
      </c>
    </row>
    <row r="127" spans="1:25" x14ac:dyDescent="0.25">
      <c r="A127" s="82" t="s">
        <v>84</v>
      </c>
      <c r="B127" s="74">
        <v>21696.665258666661</v>
      </c>
      <c r="C127" s="54">
        <v>1300</v>
      </c>
      <c r="D127" s="63">
        <v>15600</v>
      </c>
      <c r="E127" s="49">
        <f t="shared" si="53"/>
        <v>-0.28099549797088597</v>
      </c>
      <c r="F127" s="63">
        <v>553.25</v>
      </c>
      <c r="G127" s="63">
        <v>982.65</v>
      </c>
      <c r="H127" s="63">
        <v>1781.76</v>
      </c>
      <c r="I127" s="63">
        <v>1892.17</v>
      </c>
      <c r="J127" s="63">
        <v>1650.83</v>
      </c>
      <c r="K127" s="63">
        <v>1423.5</v>
      </c>
      <c r="L127" s="63">
        <v>1064.51</v>
      </c>
      <c r="M127" s="98">
        <f t="shared" si="35"/>
        <v>0.81885384615384615</v>
      </c>
      <c r="N127" s="63">
        <v>1549.19</v>
      </c>
      <c r="O127" s="98">
        <f t="shared" si="37"/>
        <v>1.1916846153846155</v>
      </c>
      <c r="P127" s="63">
        <v>1094.49</v>
      </c>
      <c r="Q127" s="98">
        <f t="shared" si="36"/>
        <v>0.84191538461538462</v>
      </c>
      <c r="R127" s="63">
        <v>1026.2</v>
      </c>
      <c r="S127" s="98">
        <f t="shared" si="36"/>
        <v>0.78938461538461546</v>
      </c>
      <c r="T127" s="63">
        <v>1413.83</v>
      </c>
      <c r="U127" s="98">
        <f t="shared" si="36"/>
        <v>1.0875615384615385</v>
      </c>
      <c r="V127" s="63"/>
      <c r="W127" s="98">
        <f t="shared" si="57"/>
        <v>0</v>
      </c>
      <c r="X127" s="63">
        <f t="shared" si="54"/>
        <v>14432.38</v>
      </c>
      <c r="Y127" s="98">
        <f t="shared" si="55"/>
        <v>0.92515256410256408</v>
      </c>
    </row>
    <row r="128" spans="1:25" x14ac:dyDescent="0.25">
      <c r="A128" s="85" t="s">
        <v>85</v>
      </c>
      <c r="B128" s="74">
        <v>4957.3333333333339</v>
      </c>
      <c r="C128" s="54">
        <v>2100</v>
      </c>
      <c r="D128" s="63">
        <v>25200</v>
      </c>
      <c r="E128" s="49">
        <f t="shared" si="53"/>
        <v>4.0833781603012369</v>
      </c>
      <c r="F128" s="63"/>
      <c r="G128" s="63">
        <v>142.69999999999999</v>
      </c>
      <c r="H128" s="63"/>
      <c r="I128" s="63"/>
      <c r="J128" s="63"/>
      <c r="K128" s="63">
        <f>585.93+301.6</f>
        <v>887.53</v>
      </c>
      <c r="L128" s="63">
        <v>870.03</v>
      </c>
      <c r="M128" s="98">
        <f t="shared" si="35"/>
        <v>0.4143</v>
      </c>
      <c r="N128" s="63">
        <v>1186.19</v>
      </c>
      <c r="O128" s="98">
        <f t="shared" si="37"/>
        <v>0.56485238095238099</v>
      </c>
      <c r="P128" s="63">
        <v>160</v>
      </c>
      <c r="Q128" s="98">
        <f t="shared" si="36"/>
        <v>7.6190476190476197E-2</v>
      </c>
      <c r="R128" s="63">
        <f>287+1130</f>
        <v>1417</v>
      </c>
      <c r="S128" s="98">
        <f t="shared" si="36"/>
        <v>0.67476190476190478</v>
      </c>
      <c r="T128" s="63"/>
      <c r="U128" s="98">
        <f t="shared" si="36"/>
        <v>0</v>
      </c>
      <c r="V128" s="63"/>
      <c r="W128" s="98" t="e">
        <f t="shared" si="57"/>
        <v>#DIV/0!</v>
      </c>
      <c r="X128" s="63">
        <f t="shared" si="54"/>
        <v>4663.45</v>
      </c>
      <c r="Y128" s="98">
        <f t="shared" si="55"/>
        <v>0.18505753968253968</v>
      </c>
    </row>
    <row r="129" spans="1:25" x14ac:dyDescent="0.25">
      <c r="A129" s="85" t="s">
        <v>108</v>
      </c>
      <c r="B129" s="74">
        <v>0</v>
      </c>
      <c r="C129" s="54">
        <v>600</v>
      </c>
      <c r="D129" s="63">
        <v>7200</v>
      </c>
      <c r="E129" s="49">
        <f t="shared" si="53"/>
        <v>0</v>
      </c>
      <c r="F129" s="63"/>
      <c r="G129" s="63"/>
      <c r="H129" s="63"/>
      <c r="I129" s="63"/>
      <c r="J129" s="63"/>
      <c r="K129" s="63"/>
      <c r="L129" s="63"/>
      <c r="M129" s="98">
        <f t="shared" si="35"/>
        <v>0</v>
      </c>
      <c r="N129" s="63"/>
      <c r="O129" s="98">
        <f t="shared" si="37"/>
        <v>0</v>
      </c>
      <c r="P129" s="63">
        <v>4449</v>
      </c>
      <c r="Q129" s="98">
        <f t="shared" si="36"/>
        <v>7.415</v>
      </c>
      <c r="R129" s="63"/>
      <c r="S129" s="98">
        <f t="shared" si="36"/>
        <v>0</v>
      </c>
      <c r="T129" s="63"/>
      <c r="U129" s="98">
        <f t="shared" si="36"/>
        <v>0</v>
      </c>
      <c r="V129" s="63"/>
      <c r="W129" s="98" t="e">
        <f t="shared" si="57"/>
        <v>#DIV/0!</v>
      </c>
      <c r="X129" s="63">
        <f t="shared" si="54"/>
        <v>4449</v>
      </c>
      <c r="Y129" s="98">
        <f t="shared" si="55"/>
        <v>0.61791666666666667</v>
      </c>
    </row>
    <row r="130" spans="1:25" x14ac:dyDescent="0.25">
      <c r="A130" s="85" t="s">
        <v>86</v>
      </c>
      <c r="B130" s="74">
        <v>8358.3740586666681</v>
      </c>
      <c r="C130" s="54">
        <v>1000</v>
      </c>
      <c r="D130" s="63">
        <v>12000</v>
      </c>
      <c r="E130" s="49">
        <f t="shared" si="53"/>
        <v>0.4356859259675494</v>
      </c>
      <c r="F130" s="63"/>
      <c r="G130" s="63"/>
      <c r="H130" s="63"/>
      <c r="I130" s="63"/>
      <c r="J130" s="63">
        <v>612.5</v>
      </c>
      <c r="K130" s="63"/>
      <c r="L130" s="63"/>
      <c r="M130" s="98">
        <f t="shared" si="35"/>
        <v>0</v>
      </c>
      <c r="N130" s="63">
        <v>402.5</v>
      </c>
      <c r="O130" s="98">
        <f t="shared" si="37"/>
        <v>0.40250000000000002</v>
      </c>
      <c r="P130" s="63"/>
      <c r="Q130" s="98">
        <f t="shared" si="36"/>
        <v>0</v>
      </c>
      <c r="R130" s="63"/>
      <c r="S130" s="98">
        <f t="shared" si="36"/>
        <v>0</v>
      </c>
      <c r="T130" s="63"/>
      <c r="U130" s="98">
        <f t="shared" si="36"/>
        <v>0</v>
      </c>
      <c r="V130" s="63"/>
      <c r="W130" s="98" t="e">
        <f t="shared" si="57"/>
        <v>#DIV/0!</v>
      </c>
      <c r="X130" s="63">
        <f t="shared" si="54"/>
        <v>1015</v>
      </c>
      <c r="Y130" s="98">
        <f t="shared" si="55"/>
        <v>8.458333333333333E-2</v>
      </c>
    </row>
    <row r="131" spans="1:25" x14ac:dyDescent="0.25">
      <c r="A131" s="85" t="s">
        <v>87</v>
      </c>
      <c r="B131" s="74">
        <v>43000</v>
      </c>
      <c r="C131" s="54">
        <v>11046.666666666666</v>
      </c>
      <c r="D131" s="63">
        <v>132560</v>
      </c>
      <c r="E131" s="49">
        <f t="shared" si="53"/>
        <v>2.0827906976744188</v>
      </c>
      <c r="F131" s="63">
        <f>5321.2-2030.6</f>
        <v>3290.6</v>
      </c>
      <c r="G131" s="63">
        <f>8140.4+2543</f>
        <v>10683.4</v>
      </c>
      <c r="H131" s="63">
        <v>18433.7</v>
      </c>
      <c r="I131" s="63">
        <v>7567.27</v>
      </c>
      <c r="J131" s="63">
        <v>8652.1</v>
      </c>
      <c r="K131" s="63">
        <f>7729.4+1032.5</f>
        <v>8761.9</v>
      </c>
      <c r="L131" s="63"/>
      <c r="M131" s="98">
        <f t="shared" si="35"/>
        <v>0</v>
      </c>
      <c r="N131" s="63">
        <f>8105-800</f>
        <v>7305</v>
      </c>
      <c r="O131" s="98">
        <f t="shared" si="37"/>
        <v>0.66128545564272789</v>
      </c>
      <c r="P131" s="63">
        <f>17637.3-1000-8080</f>
        <v>8557.2999999999993</v>
      </c>
      <c r="Q131" s="98">
        <f t="shared" si="36"/>
        <v>0.77464996982498491</v>
      </c>
      <c r="R131" s="63">
        <v>10068.58</v>
      </c>
      <c r="S131" s="98">
        <f t="shared" si="36"/>
        <v>0.9114586602293302</v>
      </c>
      <c r="T131" s="63">
        <v>6866.17</v>
      </c>
      <c r="U131" s="98">
        <f t="shared" si="36"/>
        <v>0.62156035003017507</v>
      </c>
      <c r="V131" s="63"/>
      <c r="W131" s="98">
        <f t="shared" si="57"/>
        <v>0</v>
      </c>
      <c r="X131" s="63">
        <f t="shared" si="54"/>
        <v>90186.02</v>
      </c>
      <c r="Y131" s="98">
        <f t="shared" si="55"/>
        <v>0.68034112854556428</v>
      </c>
    </row>
    <row r="132" spans="1:25" x14ac:dyDescent="0.25">
      <c r="A132" s="85" t="s">
        <v>68</v>
      </c>
      <c r="B132" s="74">
        <v>187.20000000000002</v>
      </c>
      <c r="C132" s="54">
        <v>50</v>
      </c>
      <c r="D132" s="63">
        <v>600</v>
      </c>
      <c r="E132" s="49">
        <f t="shared" si="53"/>
        <v>2.2051282051282048</v>
      </c>
      <c r="F132" s="63"/>
      <c r="G132" s="63"/>
      <c r="H132" s="63"/>
      <c r="I132" s="63"/>
      <c r="J132" s="63"/>
      <c r="K132" s="63">
        <v>334.53</v>
      </c>
      <c r="L132" s="63"/>
      <c r="M132" s="98">
        <f t="shared" si="35"/>
        <v>0</v>
      </c>
      <c r="N132" s="63"/>
      <c r="O132" s="98">
        <f t="shared" si="37"/>
        <v>0</v>
      </c>
      <c r="P132" s="63"/>
      <c r="Q132" s="98">
        <f t="shared" si="36"/>
        <v>0</v>
      </c>
      <c r="R132" s="63"/>
      <c r="S132" s="98">
        <f t="shared" si="36"/>
        <v>0</v>
      </c>
      <c r="T132" s="63"/>
      <c r="U132" s="98">
        <f t="shared" si="36"/>
        <v>0</v>
      </c>
      <c r="V132" s="63"/>
      <c r="W132" s="98" t="e">
        <f t="shared" si="57"/>
        <v>#DIV/0!</v>
      </c>
      <c r="X132" s="63">
        <f t="shared" si="54"/>
        <v>334.53</v>
      </c>
      <c r="Y132" s="98">
        <f t="shared" si="55"/>
        <v>0.55754999999999999</v>
      </c>
    </row>
    <row r="133" spans="1:25" x14ac:dyDescent="0.25">
      <c r="A133" s="85" t="s">
        <v>88</v>
      </c>
      <c r="B133" s="74">
        <v>7787.52</v>
      </c>
      <c r="C133" s="54">
        <v>1000</v>
      </c>
      <c r="D133" s="63">
        <v>12000</v>
      </c>
      <c r="E133" s="49">
        <f t="shared" si="53"/>
        <v>0.54092702169625229</v>
      </c>
      <c r="F133" s="63"/>
      <c r="G133" s="63"/>
      <c r="H133" s="63">
        <v>900</v>
      </c>
      <c r="I133" s="63"/>
      <c r="J133" s="63"/>
      <c r="K133" s="63">
        <v>1050</v>
      </c>
      <c r="L133" s="63"/>
      <c r="M133" s="98">
        <f t="shared" si="35"/>
        <v>0</v>
      </c>
      <c r="N133" s="63"/>
      <c r="O133" s="98">
        <f t="shared" si="37"/>
        <v>0</v>
      </c>
      <c r="P133" s="63"/>
      <c r="Q133" s="98">
        <f t="shared" si="36"/>
        <v>0</v>
      </c>
      <c r="R133" s="63"/>
      <c r="S133" s="98">
        <f t="shared" si="36"/>
        <v>0</v>
      </c>
      <c r="T133" s="63">
        <v>3950</v>
      </c>
      <c r="U133" s="98">
        <f t="shared" si="36"/>
        <v>3.95</v>
      </c>
      <c r="V133" s="63"/>
      <c r="W133" s="98" t="e">
        <f t="shared" si="57"/>
        <v>#DIV/0!</v>
      </c>
      <c r="X133" s="63">
        <f t="shared" si="54"/>
        <v>5900</v>
      </c>
      <c r="Y133" s="98">
        <f t="shared" si="55"/>
        <v>0.49166666666666664</v>
      </c>
    </row>
    <row r="134" spans="1:25" x14ac:dyDescent="0.25">
      <c r="A134" s="79" t="s">
        <v>89</v>
      </c>
      <c r="B134" s="76">
        <v>409029.89990399999</v>
      </c>
      <c r="C134" s="57">
        <v>52655</v>
      </c>
      <c r="D134" s="57">
        <f>D135</f>
        <v>631860</v>
      </c>
      <c r="E134" s="49">
        <f t="shared" si="53"/>
        <v>0.54477704477911915</v>
      </c>
      <c r="F134" s="57">
        <f>F135</f>
        <v>64767.07</v>
      </c>
      <c r="G134" s="57">
        <f t="shared" ref="G134:X134" si="58">G135</f>
        <v>53374.79</v>
      </c>
      <c r="H134" s="57">
        <f t="shared" si="58"/>
        <v>62210.419999999991</v>
      </c>
      <c r="I134" s="57">
        <f t="shared" si="58"/>
        <v>106767.09999999999</v>
      </c>
      <c r="J134" s="57">
        <f t="shared" si="58"/>
        <v>103939.86</v>
      </c>
      <c r="K134" s="57">
        <f t="shared" si="58"/>
        <v>112331.04000000001</v>
      </c>
      <c r="L134" s="57">
        <f t="shared" si="58"/>
        <v>35840.75</v>
      </c>
      <c r="M134" s="99">
        <f t="shared" si="35"/>
        <v>0.68067135124869438</v>
      </c>
      <c r="N134" s="57">
        <f t="shared" si="58"/>
        <v>70638.400000000009</v>
      </c>
      <c r="O134" s="99">
        <f t="shared" si="37"/>
        <v>1.3415326179849969</v>
      </c>
      <c r="P134" s="57">
        <f t="shared" si="58"/>
        <v>84757.290000000008</v>
      </c>
      <c r="Q134" s="99">
        <f t="shared" si="36"/>
        <v>1.6096722058683888</v>
      </c>
      <c r="R134" s="57">
        <f t="shared" si="58"/>
        <v>85080.3</v>
      </c>
      <c r="S134" s="99">
        <f t="shared" si="36"/>
        <v>1.615806666033615</v>
      </c>
      <c r="T134" s="57">
        <f t="shared" si="58"/>
        <v>79847.960000000006</v>
      </c>
      <c r="U134" s="99">
        <f t="shared" si="36"/>
        <v>1.5164364257905234</v>
      </c>
      <c r="V134" s="57">
        <f t="shared" si="58"/>
        <v>0</v>
      </c>
      <c r="W134" s="99">
        <f t="shared" si="57"/>
        <v>0</v>
      </c>
      <c r="X134" s="57">
        <f t="shared" si="58"/>
        <v>859554.98</v>
      </c>
      <c r="Y134" s="99">
        <f t="shared" si="55"/>
        <v>1.3603566929383091</v>
      </c>
    </row>
    <row r="135" spans="1:25" x14ac:dyDescent="0.25">
      <c r="A135" s="80" t="s">
        <v>90</v>
      </c>
      <c r="B135" s="81">
        <v>409029.89990399999</v>
      </c>
      <c r="C135" s="58">
        <v>52655</v>
      </c>
      <c r="D135" s="58">
        <f>SUM(D136:D152)</f>
        <v>631860</v>
      </c>
      <c r="E135" s="49">
        <f t="shared" si="53"/>
        <v>0.54477704477911915</v>
      </c>
      <c r="F135" s="58">
        <f>SUM(F136:F152)</f>
        <v>64767.07</v>
      </c>
      <c r="G135" s="58">
        <f t="shared" ref="G135:X135" si="59">SUM(G136:G152)</f>
        <v>53374.79</v>
      </c>
      <c r="H135" s="58">
        <f t="shared" si="59"/>
        <v>62210.419999999991</v>
      </c>
      <c r="I135" s="58">
        <f t="shared" si="59"/>
        <v>106767.09999999999</v>
      </c>
      <c r="J135" s="58">
        <f t="shared" si="59"/>
        <v>103939.86</v>
      </c>
      <c r="K135" s="58">
        <f t="shared" si="59"/>
        <v>112331.04000000001</v>
      </c>
      <c r="L135" s="58">
        <f t="shared" si="59"/>
        <v>35840.75</v>
      </c>
      <c r="M135" s="100">
        <f t="shared" si="35"/>
        <v>0.68067135124869438</v>
      </c>
      <c r="N135" s="58">
        <f t="shared" si="59"/>
        <v>70638.400000000009</v>
      </c>
      <c r="O135" s="100">
        <f t="shared" si="37"/>
        <v>1.3415326179849969</v>
      </c>
      <c r="P135" s="58">
        <f t="shared" si="59"/>
        <v>84757.290000000008</v>
      </c>
      <c r="Q135" s="100">
        <f t="shared" si="36"/>
        <v>1.6096722058683888</v>
      </c>
      <c r="R135" s="58">
        <f t="shared" si="59"/>
        <v>85080.3</v>
      </c>
      <c r="S135" s="100">
        <f t="shared" si="36"/>
        <v>1.615806666033615</v>
      </c>
      <c r="T135" s="58">
        <f t="shared" si="59"/>
        <v>79847.960000000006</v>
      </c>
      <c r="U135" s="100">
        <f t="shared" si="36"/>
        <v>1.5164364257905234</v>
      </c>
      <c r="V135" s="58">
        <f t="shared" si="59"/>
        <v>0</v>
      </c>
      <c r="W135" s="100">
        <f t="shared" si="57"/>
        <v>0</v>
      </c>
      <c r="X135" s="58">
        <f t="shared" si="59"/>
        <v>859554.98</v>
      </c>
      <c r="Y135" s="100">
        <f t="shared" si="55"/>
        <v>1.3603566929383091</v>
      </c>
    </row>
    <row r="136" spans="1:25" x14ac:dyDescent="0.25">
      <c r="A136" s="82" t="s">
        <v>77</v>
      </c>
      <c r="B136" s="74">
        <v>61028.448000000004</v>
      </c>
      <c r="C136" s="54">
        <v>5700</v>
      </c>
      <c r="D136" s="54">
        <f t="shared" ref="D136:D142" si="60">C136*12</f>
        <v>68400</v>
      </c>
      <c r="E136" s="49">
        <f t="shared" si="53"/>
        <v>0.12078878361776457</v>
      </c>
      <c r="F136" s="54">
        <f>8527</f>
        <v>8527</v>
      </c>
      <c r="G136" s="54">
        <f>6537.37</f>
        <v>6537.37</v>
      </c>
      <c r="H136" s="54">
        <f>6253.13</f>
        <v>6253.13</v>
      </c>
      <c r="I136" s="54">
        <v>8527</v>
      </c>
      <c r="J136" s="54">
        <v>9751.9500000000007</v>
      </c>
      <c r="K136" s="54">
        <f>6613.49</f>
        <v>6613.49</v>
      </c>
      <c r="L136" s="54"/>
      <c r="M136" s="97">
        <f t="shared" ref="M136:M167" si="61">L136/C136</f>
        <v>0</v>
      </c>
      <c r="N136" s="54"/>
      <c r="O136" s="97">
        <f t="shared" si="37"/>
        <v>0</v>
      </c>
      <c r="P136" s="54"/>
      <c r="Q136" s="97">
        <f t="shared" si="36"/>
        <v>0</v>
      </c>
      <c r="R136" s="54"/>
      <c r="S136" s="97">
        <f t="shared" si="36"/>
        <v>0</v>
      </c>
      <c r="T136" s="54"/>
      <c r="U136" s="97">
        <f t="shared" si="36"/>
        <v>0</v>
      </c>
      <c r="V136" s="54"/>
      <c r="W136" s="97">
        <f t="shared" si="57"/>
        <v>0</v>
      </c>
      <c r="X136" s="54">
        <f t="shared" ref="X136:X152" si="62">V136+T136+R136+P136+N136+L136+K136+J136+I136+H136+G136+F136</f>
        <v>46209.94</v>
      </c>
      <c r="Y136" s="97">
        <f t="shared" si="55"/>
        <v>0.67558391812865504</v>
      </c>
    </row>
    <row r="137" spans="1:25" x14ac:dyDescent="0.25">
      <c r="A137" s="82" t="s">
        <v>87</v>
      </c>
      <c r="B137" s="74">
        <v>180000</v>
      </c>
      <c r="C137" s="54">
        <v>13833.333333333334</v>
      </c>
      <c r="D137" s="54">
        <v>166000</v>
      </c>
      <c r="E137" s="49">
        <f t="shared" si="53"/>
        <v>-7.7777777777777724E-2</v>
      </c>
      <c r="F137" s="54">
        <v>1230</v>
      </c>
      <c r="G137" s="54">
        <v>5700</v>
      </c>
      <c r="H137" s="54">
        <v>31207.13</v>
      </c>
      <c r="I137" s="54">
        <f>24950+840</f>
        <v>25790</v>
      </c>
      <c r="J137" s="54">
        <v>49120</v>
      </c>
      <c r="K137" s="54">
        <v>38640</v>
      </c>
      <c r="L137" s="54"/>
      <c r="M137" s="97">
        <f t="shared" si="61"/>
        <v>0</v>
      </c>
      <c r="N137" s="54">
        <v>32500</v>
      </c>
      <c r="O137" s="97">
        <f t="shared" si="37"/>
        <v>2.3493975903614457</v>
      </c>
      <c r="P137" s="54">
        <f>1000+48812+1750</f>
        <v>51562</v>
      </c>
      <c r="Q137" s="97">
        <f t="shared" si="36"/>
        <v>3.7273734939759033</v>
      </c>
      <c r="R137" s="54">
        <v>42089.85</v>
      </c>
      <c r="S137" s="97">
        <f t="shared" si="36"/>
        <v>3.0426397590361445</v>
      </c>
      <c r="T137" s="63">
        <v>39841.26</v>
      </c>
      <c r="U137" s="97">
        <f t="shared" si="36"/>
        <v>2.8800910843373493</v>
      </c>
      <c r="V137" s="54"/>
      <c r="W137" s="97">
        <f t="shared" si="57"/>
        <v>0</v>
      </c>
      <c r="X137" s="54">
        <f t="shared" si="62"/>
        <v>317680.24</v>
      </c>
      <c r="Y137" s="97">
        <f t="shared" si="55"/>
        <v>1.9137363855421685</v>
      </c>
    </row>
    <row r="138" spans="1:25" x14ac:dyDescent="0.25">
      <c r="A138" s="82" t="s">
        <v>32</v>
      </c>
      <c r="B138" s="74">
        <v>28378.147199999999</v>
      </c>
      <c r="C138" s="54">
        <v>3400</v>
      </c>
      <c r="D138" s="54">
        <f t="shared" si="60"/>
        <v>40800</v>
      </c>
      <c r="E138" s="49">
        <f t="shared" si="53"/>
        <v>0.43772599784104305</v>
      </c>
      <c r="F138" s="54">
        <f>2174.38+682.16+101.85</f>
        <v>2958.39</v>
      </c>
      <c r="G138" s="54">
        <f>2407.56+755.32+101.52</f>
        <v>3264.4</v>
      </c>
      <c r="H138" s="54">
        <f>2440.88+765.77+112.3</f>
        <v>3318.9500000000003</v>
      </c>
      <c r="I138" s="54">
        <f>2174.38+682.16+101.86</f>
        <v>2958.4</v>
      </c>
      <c r="J138" s="54">
        <f>2486.74+780.15+121.2</f>
        <v>3388.0899999999997</v>
      </c>
      <c r="K138" s="54">
        <f>2587.55+6193.45+101.47-142.76</f>
        <v>8739.7099999999991</v>
      </c>
      <c r="L138" s="54"/>
      <c r="M138" s="97">
        <f t="shared" si="61"/>
        <v>0</v>
      </c>
      <c r="N138" s="54"/>
      <c r="O138" s="97">
        <f t="shared" si="37"/>
        <v>0</v>
      </c>
      <c r="P138" s="54"/>
      <c r="Q138" s="97">
        <f t="shared" si="36"/>
        <v>0</v>
      </c>
      <c r="R138" s="54"/>
      <c r="S138" s="97">
        <f t="shared" si="36"/>
        <v>0</v>
      </c>
      <c r="T138" s="54"/>
      <c r="U138" s="97">
        <f t="shared" si="36"/>
        <v>0</v>
      </c>
      <c r="V138" s="54"/>
      <c r="W138" s="97">
        <f t="shared" si="57"/>
        <v>0</v>
      </c>
      <c r="X138" s="54">
        <f t="shared" si="62"/>
        <v>24627.94</v>
      </c>
      <c r="Y138" s="97">
        <f t="shared" si="55"/>
        <v>0.60362598039215687</v>
      </c>
    </row>
    <row r="139" spans="1:25" x14ac:dyDescent="0.25">
      <c r="A139" s="82" t="s">
        <v>79</v>
      </c>
      <c r="B139" s="74">
        <v>0</v>
      </c>
      <c r="C139" s="54"/>
      <c r="D139" s="54"/>
      <c r="E139" s="49">
        <f t="shared" si="53"/>
        <v>0</v>
      </c>
      <c r="F139" s="54"/>
      <c r="G139" s="54"/>
      <c r="H139" s="54"/>
      <c r="I139" s="54"/>
      <c r="J139" s="54"/>
      <c r="K139" s="54"/>
      <c r="L139" s="54"/>
      <c r="M139" s="97" t="e">
        <f t="shared" si="61"/>
        <v>#DIV/0!</v>
      </c>
      <c r="N139" s="54"/>
      <c r="O139" s="97" t="e">
        <f t="shared" si="37"/>
        <v>#DIV/0!</v>
      </c>
      <c r="P139" s="54"/>
      <c r="Q139" s="97" t="e">
        <f t="shared" ref="Q139:U167" si="63">P139/$C139</f>
        <v>#DIV/0!</v>
      </c>
      <c r="R139" s="54"/>
      <c r="S139" s="97" t="e">
        <f t="shared" si="63"/>
        <v>#DIV/0!</v>
      </c>
      <c r="T139" s="54"/>
      <c r="U139" s="97" t="e">
        <f t="shared" si="63"/>
        <v>#DIV/0!</v>
      </c>
      <c r="V139" s="54"/>
      <c r="W139" s="97" t="e">
        <f t="shared" si="57"/>
        <v>#DIV/0!</v>
      </c>
      <c r="X139" s="54">
        <f t="shared" si="62"/>
        <v>0</v>
      </c>
      <c r="Y139" s="97" t="e">
        <f t="shared" si="55"/>
        <v>#DIV/0!</v>
      </c>
    </row>
    <row r="140" spans="1:25" x14ac:dyDescent="0.25">
      <c r="A140" s="82" t="s">
        <v>80</v>
      </c>
      <c r="B140" s="74">
        <v>10248.992</v>
      </c>
      <c r="C140" s="54">
        <v>1100</v>
      </c>
      <c r="D140" s="54">
        <f t="shared" si="60"/>
        <v>13200</v>
      </c>
      <c r="E140" s="49">
        <f t="shared" si="53"/>
        <v>0.28793153512072212</v>
      </c>
      <c r="F140" s="54"/>
      <c r="G140" s="54">
        <v>2904.07</v>
      </c>
      <c r="H140" s="54">
        <v>3318.95</v>
      </c>
      <c r="I140" s="54"/>
      <c r="J140" s="54"/>
      <c r="K140" s="54">
        <v>10507.66</v>
      </c>
      <c r="L140" s="54"/>
      <c r="M140" s="97">
        <f t="shared" si="61"/>
        <v>0</v>
      </c>
      <c r="N140" s="54"/>
      <c r="O140" s="97">
        <f t="shared" ref="O140:O167" si="64">N140/C140</f>
        <v>0</v>
      </c>
      <c r="P140" s="54"/>
      <c r="Q140" s="97">
        <f t="shared" si="63"/>
        <v>0</v>
      </c>
      <c r="R140" s="54"/>
      <c r="S140" s="97">
        <f t="shared" si="63"/>
        <v>0</v>
      </c>
      <c r="T140" s="54"/>
      <c r="U140" s="97">
        <f t="shared" si="63"/>
        <v>0</v>
      </c>
      <c r="V140" s="54"/>
      <c r="W140" s="97" t="e">
        <f t="shared" si="57"/>
        <v>#DIV/0!</v>
      </c>
      <c r="X140" s="54">
        <f t="shared" si="62"/>
        <v>16730.68</v>
      </c>
      <c r="Y140" s="97">
        <f t="shared" si="55"/>
        <v>1.2674757575757576</v>
      </c>
    </row>
    <row r="141" spans="1:25" x14ac:dyDescent="0.25">
      <c r="A141" s="82" t="s">
        <v>78</v>
      </c>
      <c r="B141" s="74">
        <v>6891.0815999999995</v>
      </c>
      <c r="C141" s="54">
        <v>355</v>
      </c>
      <c r="D141" s="54">
        <f t="shared" si="60"/>
        <v>4260</v>
      </c>
      <c r="E141" s="49">
        <f t="shared" si="53"/>
        <v>-0.3818096712132969</v>
      </c>
      <c r="F141" s="54"/>
      <c r="G141" s="54"/>
      <c r="H141" s="54"/>
      <c r="I141" s="54"/>
      <c r="J141" s="54"/>
      <c r="K141" s="54">
        <v>4450.5</v>
      </c>
      <c r="L141" s="54"/>
      <c r="M141" s="97">
        <f t="shared" si="61"/>
        <v>0</v>
      </c>
      <c r="N141" s="54"/>
      <c r="O141" s="97">
        <f t="shared" si="64"/>
        <v>0</v>
      </c>
      <c r="P141" s="54"/>
      <c r="Q141" s="97">
        <f t="shared" si="63"/>
        <v>0</v>
      </c>
      <c r="R141" s="54"/>
      <c r="S141" s="97">
        <f t="shared" si="63"/>
        <v>0</v>
      </c>
      <c r="T141" s="54"/>
      <c r="U141" s="97">
        <f t="shared" si="63"/>
        <v>0</v>
      </c>
      <c r="V141" s="54"/>
      <c r="W141" s="97" t="e">
        <f t="shared" si="57"/>
        <v>#DIV/0!</v>
      </c>
      <c r="X141" s="54">
        <f t="shared" si="62"/>
        <v>4450.5</v>
      </c>
      <c r="Y141" s="97">
        <f t="shared" si="55"/>
        <v>1.044718309859155</v>
      </c>
    </row>
    <row r="142" spans="1:25" x14ac:dyDescent="0.25">
      <c r="A142" s="82" t="s">
        <v>91</v>
      </c>
      <c r="B142" s="74">
        <v>11309.685504000005</v>
      </c>
      <c r="C142" s="54">
        <v>850</v>
      </c>
      <c r="D142" s="54">
        <f t="shared" si="60"/>
        <v>10200</v>
      </c>
      <c r="E142" s="49">
        <f t="shared" si="53"/>
        <v>-9.8118157539175743E-2</v>
      </c>
      <c r="F142" s="54">
        <f>130.44-2+88.32+546-2</f>
        <v>760.76</v>
      </c>
      <c r="G142" s="54">
        <f>130.44-2+92.53+364-2</f>
        <v>582.97</v>
      </c>
      <c r="H142" s="54">
        <f>131.39-2+92.53+572-2</f>
        <v>791.92</v>
      </c>
      <c r="I142" s="54">
        <f>131.68-2+89.17+4777.94-2</f>
        <v>4994.79</v>
      </c>
      <c r="J142" s="54">
        <f>131.39-2+89.17+1150-2</f>
        <v>1366.56</v>
      </c>
      <c r="K142" s="54">
        <f>89.17+991.06-2</f>
        <v>1078.23</v>
      </c>
      <c r="L142" s="54">
        <v>700</v>
      </c>
      <c r="M142" s="97">
        <f t="shared" si="61"/>
        <v>0.82352941176470584</v>
      </c>
      <c r="N142" s="54">
        <f>921.06+2664</f>
        <v>3585.06</v>
      </c>
      <c r="O142" s="97">
        <f t="shared" si="64"/>
        <v>4.2177176470588238</v>
      </c>
      <c r="P142" s="54">
        <v>468</v>
      </c>
      <c r="Q142" s="97">
        <f t="shared" si="63"/>
        <v>0.5505882352941176</v>
      </c>
      <c r="R142" s="54">
        <v>990</v>
      </c>
      <c r="S142" s="97">
        <f t="shared" si="63"/>
        <v>1.1647058823529413</v>
      </c>
      <c r="T142" s="54">
        <f>910+1720</f>
        <v>2630</v>
      </c>
      <c r="U142" s="97">
        <f t="shared" si="63"/>
        <v>3.0941176470588236</v>
      </c>
      <c r="V142" s="54"/>
      <c r="W142" s="97">
        <f t="shared" si="57"/>
        <v>0</v>
      </c>
      <c r="X142" s="54">
        <f t="shared" si="62"/>
        <v>17948.289999999997</v>
      </c>
      <c r="Y142" s="97">
        <f t="shared" si="55"/>
        <v>1.7596362745098038</v>
      </c>
    </row>
    <row r="143" spans="1:25" ht="15.95" customHeight="1" x14ac:dyDescent="0.25">
      <c r="A143" s="85" t="s">
        <v>184</v>
      </c>
      <c r="B143" s="74">
        <v>60000</v>
      </c>
      <c r="C143" s="54">
        <v>4166.666666666667</v>
      </c>
      <c r="D143" s="54">
        <v>50000</v>
      </c>
      <c r="E143" s="49">
        <f t="shared" si="53"/>
        <v>-0.16666666666666663</v>
      </c>
      <c r="F143" s="54"/>
      <c r="G143" s="54">
        <f>4552.13+940</f>
        <v>5492.13</v>
      </c>
      <c r="H143" s="54">
        <f>945+1880</f>
        <v>2825</v>
      </c>
      <c r="I143" s="54">
        <v>23617.5</v>
      </c>
      <c r="J143" s="54">
        <f>9588.21+5590</f>
        <v>15178.21</v>
      </c>
      <c r="K143" s="54">
        <f>3571.28+10375.71</f>
        <v>13946.99</v>
      </c>
      <c r="L143" s="54">
        <v>2380</v>
      </c>
      <c r="M143" s="97">
        <f t="shared" si="61"/>
        <v>0.57119999999999993</v>
      </c>
      <c r="N143" s="54">
        <f>16480.43+7200</f>
        <v>23680.43</v>
      </c>
      <c r="O143" s="97">
        <f t="shared" si="64"/>
        <v>5.6833031999999992</v>
      </c>
      <c r="P143" s="54">
        <f>15395.78</f>
        <v>15395.78</v>
      </c>
      <c r="Q143" s="97">
        <f t="shared" si="63"/>
        <v>3.6949871999999999</v>
      </c>
      <c r="R143" s="54">
        <f>1969.03</f>
        <v>1969.03</v>
      </c>
      <c r="S143" s="97">
        <f t="shared" si="63"/>
        <v>0.47256719999999997</v>
      </c>
      <c r="T143" s="54">
        <f>12857.82+1200</f>
        <v>14057.82</v>
      </c>
      <c r="U143" s="97">
        <f t="shared" si="63"/>
        <v>3.3738767999999997</v>
      </c>
      <c r="V143" s="54"/>
      <c r="W143" s="97">
        <f t="shared" si="57"/>
        <v>0</v>
      </c>
      <c r="X143" s="54">
        <f t="shared" si="62"/>
        <v>118542.89000000001</v>
      </c>
      <c r="Y143" s="97">
        <f t="shared" si="55"/>
        <v>2.3708578000000005</v>
      </c>
    </row>
    <row r="144" spans="1:25" ht="15.95" customHeight="1" x14ac:dyDescent="0.25">
      <c r="A144" s="85" t="s">
        <v>185</v>
      </c>
      <c r="B144" s="74"/>
      <c r="C144" s="54">
        <v>833.33333333333337</v>
      </c>
      <c r="D144" s="54">
        <v>10000</v>
      </c>
      <c r="E144" s="49">
        <f t="shared" si="53"/>
        <v>0</v>
      </c>
      <c r="F144" s="54">
        <v>38820</v>
      </c>
      <c r="G144" s="54">
        <f>23276-5500</f>
        <v>17776</v>
      </c>
      <c r="H144" s="54"/>
      <c r="I144" s="54"/>
      <c r="J144" s="54"/>
      <c r="K144" s="54"/>
      <c r="L144" s="54">
        <v>13529.8</v>
      </c>
      <c r="M144" s="97">
        <f t="shared" si="61"/>
        <v>16.235759999999999</v>
      </c>
      <c r="N144" s="54"/>
      <c r="O144" s="97">
        <f t="shared" si="64"/>
        <v>0</v>
      </c>
      <c r="P144" s="54"/>
      <c r="Q144" s="97">
        <f t="shared" si="63"/>
        <v>0</v>
      </c>
      <c r="R144" s="54"/>
      <c r="S144" s="97">
        <f t="shared" si="63"/>
        <v>0</v>
      </c>
      <c r="T144" s="54"/>
      <c r="U144" s="97">
        <f t="shared" si="63"/>
        <v>0</v>
      </c>
      <c r="V144" s="54"/>
      <c r="W144" s="97" t="e">
        <f t="shared" si="57"/>
        <v>#DIV/0!</v>
      </c>
      <c r="X144" s="54">
        <f t="shared" si="62"/>
        <v>70125.8</v>
      </c>
      <c r="Y144" s="97">
        <f t="shared" si="55"/>
        <v>7.0125800000000007</v>
      </c>
    </row>
    <row r="145" spans="1:25" ht="15.95" customHeight="1" x14ac:dyDescent="0.25">
      <c r="A145" s="85" t="s">
        <v>186</v>
      </c>
      <c r="B145" s="74"/>
      <c r="C145" s="54">
        <v>1250</v>
      </c>
      <c r="D145" s="54">
        <v>15000</v>
      </c>
      <c r="E145" s="49">
        <f t="shared" si="53"/>
        <v>0</v>
      </c>
      <c r="F145" s="54">
        <v>11180</v>
      </c>
      <c r="G145" s="54"/>
      <c r="H145" s="54"/>
      <c r="I145" s="54"/>
      <c r="J145" s="54"/>
      <c r="K145" s="54"/>
      <c r="L145" s="54"/>
      <c r="M145" s="97">
        <f t="shared" si="61"/>
        <v>0</v>
      </c>
      <c r="N145" s="54"/>
      <c r="O145" s="97">
        <f t="shared" si="64"/>
        <v>0</v>
      </c>
      <c r="P145" s="54"/>
      <c r="Q145" s="97">
        <f t="shared" si="63"/>
        <v>0</v>
      </c>
      <c r="R145" s="54"/>
      <c r="S145" s="97">
        <f t="shared" si="63"/>
        <v>0</v>
      </c>
      <c r="T145" s="54"/>
      <c r="U145" s="97">
        <f t="shared" si="63"/>
        <v>0</v>
      </c>
      <c r="V145" s="54"/>
      <c r="W145" s="97" t="e">
        <f t="shared" si="57"/>
        <v>#DIV/0!</v>
      </c>
      <c r="X145" s="54">
        <f t="shared" si="62"/>
        <v>11180</v>
      </c>
      <c r="Y145" s="97">
        <f t="shared" si="55"/>
        <v>0.74533333333333329</v>
      </c>
    </row>
    <row r="146" spans="1:25" x14ac:dyDescent="0.25">
      <c r="A146" s="85" t="s">
        <v>92</v>
      </c>
      <c r="B146" s="74">
        <v>8421.5455999999995</v>
      </c>
      <c r="C146" s="54">
        <v>4166.666666666667</v>
      </c>
      <c r="D146" s="54">
        <v>50000</v>
      </c>
      <c r="E146" s="49">
        <f t="shared" si="53"/>
        <v>4.9371524390962156</v>
      </c>
      <c r="F146" s="54"/>
      <c r="G146" s="54"/>
      <c r="H146" s="54">
        <v>856</v>
      </c>
      <c r="I146" s="54">
        <v>1551.65</v>
      </c>
      <c r="J146" s="54">
        <v>3500</v>
      </c>
      <c r="K146" s="54"/>
      <c r="L146" s="54">
        <v>5865.47</v>
      </c>
      <c r="M146" s="97">
        <f t="shared" si="61"/>
        <v>1.4077127999999999</v>
      </c>
      <c r="N146" s="54">
        <v>2494.5500000000002</v>
      </c>
      <c r="O146" s="97">
        <f t="shared" si="64"/>
        <v>0.598692</v>
      </c>
      <c r="P146" s="54"/>
      <c r="Q146" s="97">
        <f t="shared" si="63"/>
        <v>0</v>
      </c>
      <c r="R146" s="54"/>
      <c r="S146" s="97">
        <f t="shared" si="63"/>
        <v>0</v>
      </c>
      <c r="T146" s="54">
        <f>410.98+255.52</f>
        <v>666.5</v>
      </c>
      <c r="U146" s="97">
        <f t="shared" si="63"/>
        <v>0.15995999999999999</v>
      </c>
      <c r="V146" s="54"/>
      <c r="W146" s="97">
        <f t="shared" si="57"/>
        <v>0</v>
      </c>
      <c r="X146" s="54">
        <f t="shared" si="62"/>
        <v>14934.17</v>
      </c>
      <c r="Y146" s="97">
        <f t="shared" si="55"/>
        <v>0.29868339999999999</v>
      </c>
    </row>
    <row r="147" spans="1:25" ht="17.100000000000001" customHeight="1" x14ac:dyDescent="0.25">
      <c r="A147" s="85" t="s">
        <v>183</v>
      </c>
      <c r="B147" s="74">
        <v>14352</v>
      </c>
      <c r="C147" s="54">
        <v>7500</v>
      </c>
      <c r="D147" s="54">
        <v>90000</v>
      </c>
      <c r="E147" s="49">
        <f t="shared" si="53"/>
        <v>5.2709030100334449</v>
      </c>
      <c r="F147" s="54">
        <v>1290.92</v>
      </c>
      <c r="G147" s="54">
        <v>2292.85</v>
      </c>
      <c r="H147" s="54">
        <v>4157.42</v>
      </c>
      <c r="I147" s="54">
        <v>4415.09</v>
      </c>
      <c r="J147" s="54">
        <v>3851.94</v>
      </c>
      <c r="K147" s="54">
        <f>4150.5</f>
        <v>4150.5</v>
      </c>
      <c r="L147" s="54">
        <v>2770.73</v>
      </c>
      <c r="M147" s="97">
        <f t="shared" si="61"/>
        <v>0.36943066666666668</v>
      </c>
      <c r="N147" s="54">
        <v>3614.75</v>
      </c>
      <c r="O147" s="97">
        <f t="shared" si="64"/>
        <v>0.48196666666666665</v>
      </c>
      <c r="P147" s="54">
        <v>2553.83</v>
      </c>
      <c r="Q147" s="97">
        <f t="shared" si="63"/>
        <v>0.34051066666666668</v>
      </c>
      <c r="R147" s="54">
        <v>2394.44</v>
      </c>
      <c r="S147" s="97">
        <f t="shared" si="63"/>
        <v>0.31925866666666669</v>
      </c>
      <c r="T147" s="54">
        <v>3298.98</v>
      </c>
      <c r="U147" s="97">
        <f t="shared" si="63"/>
        <v>0.43986399999999998</v>
      </c>
      <c r="V147" s="54"/>
      <c r="W147" s="97">
        <f t="shared" si="57"/>
        <v>0</v>
      </c>
      <c r="X147" s="54">
        <f t="shared" si="62"/>
        <v>34791.449999999997</v>
      </c>
      <c r="Y147" s="97">
        <f t="shared" si="55"/>
        <v>0.38657166666666665</v>
      </c>
    </row>
    <row r="148" spans="1:25" x14ac:dyDescent="0.25">
      <c r="A148" s="85" t="s">
        <v>157</v>
      </c>
      <c r="B148" s="74">
        <v>2400</v>
      </c>
      <c r="C148" s="54">
        <v>833.33333333333337</v>
      </c>
      <c r="D148" s="54">
        <v>10000</v>
      </c>
      <c r="E148" s="49">
        <f t="shared" si="53"/>
        <v>3.166666666666667</v>
      </c>
      <c r="F148" s="54"/>
      <c r="G148" s="54"/>
      <c r="H148" s="54"/>
      <c r="I148" s="54">
        <v>675</v>
      </c>
      <c r="J148" s="54">
        <v>1080</v>
      </c>
      <c r="K148" s="54">
        <v>2841.6</v>
      </c>
      <c r="L148" s="54">
        <v>525</v>
      </c>
      <c r="M148" s="97">
        <f t="shared" si="61"/>
        <v>0.63</v>
      </c>
      <c r="N148" s="54">
        <v>497.7</v>
      </c>
      <c r="O148" s="97">
        <f t="shared" si="64"/>
        <v>0.59723999999999999</v>
      </c>
      <c r="P148" s="54">
        <v>1110</v>
      </c>
      <c r="Q148" s="97">
        <f t="shared" si="63"/>
        <v>1.3319999999999999</v>
      </c>
      <c r="R148" s="54"/>
      <c r="S148" s="97">
        <f t="shared" si="63"/>
        <v>0</v>
      </c>
      <c r="T148" s="54"/>
      <c r="U148" s="97">
        <f t="shared" si="63"/>
        <v>0</v>
      </c>
      <c r="V148" s="54"/>
      <c r="W148" s="97">
        <f t="shared" si="57"/>
        <v>0</v>
      </c>
      <c r="X148" s="54">
        <f t="shared" si="62"/>
        <v>6729.2999999999993</v>
      </c>
      <c r="Y148" s="97">
        <f t="shared" si="55"/>
        <v>0.67292999999999992</v>
      </c>
    </row>
    <row r="149" spans="1:25" x14ac:dyDescent="0.25">
      <c r="A149" s="85" t="s">
        <v>187</v>
      </c>
      <c r="B149" s="74">
        <v>20000</v>
      </c>
      <c r="C149" s="54">
        <v>5000</v>
      </c>
      <c r="D149" s="54">
        <v>60000</v>
      </c>
      <c r="E149" s="49">
        <f t="shared" ref="E149:E167" si="65">IFERROR((D149/B149)-1,0)</f>
        <v>2</v>
      </c>
      <c r="F149" s="54"/>
      <c r="G149" s="54">
        <v>8825</v>
      </c>
      <c r="H149" s="54">
        <f>1001.92+8480</f>
        <v>9481.92</v>
      </c>
      <c r="I149" s="54">
        <v>29527.67</v>
      </c>
      <c r="J149" s="54">
        <v>16703.11</v>
      </c>
      <c r="K149" s="54">
        <v>21362.36</v>
      </c>
      <c r="L149" s="54">
        <f>7121.73-38.19</f>
        <v>7083.54</v>
      </c>
      <c r="M149" s="97">
        <f t="shared" si="61"/>
        <v>1.4167080000000001</v>
      </c>
      <c r="N149" s="54">
        <v>3729.91</v>
      </c>
      <c r="O149" s="97">
        <f t="shared" si="64"/>
        <v>0.74598199999999992</v>
      </c>
      <c r="P149" s="54">
        <v>13667.68</v>
      </c>
      <c r="Q149" s="97">
        <f t="shared" si="63"/>
        <v>2.733536</v>
      </c>
      <c r="R149" s="54">
        <v>37636.980000000003</v>
      </c>
      <c r="S149" s="97">
        <f t="shared" si="63"/>
        <v>7.5273960000000004</v>
      </c>
      <c r="T149" s="54">
        <v>19353.400000000001</v>
      </c>
      <c r="U149" s="97">
        <f t="shared" si="63"/>
        <v>3.8706800000000001</v>
      </c>
      <c r="V149" s="54"/>
      <c r="W149" s="97">
        <f t="shared" si="57"/>
        <v>0</v>
      </c>
      <c r="X149" s="54">
        <f t="shared" si="62"/>
        <v>167371.57</v>
      </c>
      <c r="Y149" s="97">
        <f t="shared" ref="Y149:Y167" si="66">X149/D149</f>
        <v>2.7895261666666666</v>
      </c>
    </row>
    <row r="150" spans="1:25" x14ac:dyDescent="0.25">
      <c r="A150" s="85" t="s">
        <v>188</v>
      </c>
      <c r="B150" s="74"/>
      <c r="C150" s="54">
        <v>2000</v>
      </c>
      <c r="D150" s="54">
        <v>24000</v>
      </c>
      <c r="E150" s="49">
        <f t="shared" si="65"/>
        <v>0</v>
      </c>
      <c r="F150" s="54"/>
      <c r="G150" s="54"/>
      <c r="H150" s="54"/>
      <c r="I150" s="54">
        <v>4710</v>
      </c>
      <c r="J150" s="54"/>
      <c r="K150" s="54"/>
      <c r="L150" s="54"/>
      <c r="M150" s="97">
        <f t="shared" si="61"/>
        <v>0</v>
      </c>
      <c r="N150" s="54"/>
      <c r="O150" s="97">
        <f t="shared" si="64"/>
        <v>0</v>
      </c>
      <c r="P150" s="54"/>
      <c r="Q150" s="97">
        <f t="shared" si="63"/>
        <v>0</v>
      </c>
      <c r="R150" s="54"/>
      <c r="S150" s="97">
        <f t="shared" si="63"/>
        <v>0</v>
      </c>
      <c r="T150" s="54"/>
      <c r="U150" s="97">
        <f t="shared" si="63"/>
        <v>0</v>
      </c>
      <c r="V150" s="54"/>
      <c r="W150" s="97">
        <f t="shared" si="57"/>
        <v>0</v>
      </c>
      <c r="X150" s="54">
        <f t="shared" si="62"/>
        <v>4710</v>
      </c>
      <c r="Y150" s="97">
        <f t="shared" si="66"/>
        <v>0.19625000000000001</v>
      </c>
    </row>
    <row r="151" spans="1:25" x14ac:dyDescent="0.25">
      <c r="A151" s="85" t="s">
        <v>189</v>
      </c>
      <c r="B151" s="74">
        <v>6000</v>
      </c>
      <c r="C151" s="54">
        <v>1666.6666666666667</v>
      </c>
      <c r="D151" s="54">
        <v>20000</v>
      </c>
      <c r="E151" s="49">
        <f t="shared" si="65"/>
        <v>2.3333333333333335</v>
      </c>
      <c r="F151" s="54"/>
      <c r="G151" s="54"/>
      <c r="H151" s="54"/>
      <c r="I151" s="54"/>
      <c r="J151" s="54"/>
      <c r="K151" s="54"/>
      <c r="L151" s="54">
        <f>3110.84-124.63</f>
        <v>2986.21</v>
      </c>
      <c r="M151" s="97">
        <f t="shared" si="61"/>
        <v>1.7917259999999999</v>
      </c>
      <c r="N151" s="54">
        <v>536</v>
      </c>
      <c r="O151" s="97">
        <f t="shared" si="64"/>
        <v>0.3216</v>
      </c>
      <c r="P151" s="54"/>
      <c r="Q151" s="97">
        <f t="shared" si="63"/>
        <v>0</v>
      </c>
      <c r="R151" s="54"/>
      <c r="S151" s="97">
        <f t="shared" si="63"/>
        <v>0</v>
      </c>
      <c r="T151" s="54"/>
      <c r="U151" s="97">
        <f t="shared" si="63"/>
        <v>0</v>
      </c>
      <c r="V151" s="54"/>
      <c r="W151" s="97" t="e">
        <f t="shared" si="57"/>
        <v>#DIV/0!</v>
      </c>
      <c r="X151" s="54">
        <f t="shared" si="62"/>
        <v>3522.21</v>
      </c>
      <c r="Y151" s="97">
        <f t="shared" si="66"/>
        <v>0.1761105</v>
      </c>
    </row>
    <row r="152" spans="1:25" x14ac:dyDescent="0.25">
      <c r="A152" s="85" t="s">
        <v>93</v>
      </c>
      <c r="B152" s="74">
        <v>0</v>
      </c>
      <c r="C152" s="54"/>
      <c r="D152" s="54"/>
      <c r="E152" s="49">
        <f t="shared" si="65"/>
        <v>0</v>
      </c>
      <c r="F152" s="54"/>
      <c r="G152" s="54"/>
      <c r="H152" s="54"/>
      <c r="I152" s="54"/>
      <c r="J152" s="54"/>
      <c r="K152" s="54"/>
      <c r="L152" s="54"/>
      <c r="M152" s="97" t="e">
        <f t="shared" si="61"/>
        <v>#DIV/0!</v>
      </c>
      <c r="N152" s="54"/>
      <c r="O152" s="97" t="e">
        <f t="shared" si="64"/>
        <v>#DIV/0!</v>
      </c>
      <c r="P152" s="54"/>
      <c r="Q152" s="97" t="e">
        <f t="shared" si="63"/>
        <v>#DIV/0!</v>
      </c>
      <c r="R152" s="54"/>
      <c r="S152" s="97" t="e">
        <f t="shared" si="63"/>
        <v>#DIV/0!</v>
      </c>
      <c r="T152" s="54"/>
      <c r="U152" s="97" t="e">
        <f t="shared" si="63"/>
        <v>#DIV/0!</v>
      </c>
      <c r="V152" s="54"/>
      <c r="W152" s="97" t="e">
        <f t="shared" si="57"/>
        <v>#DIV/0!</v>
      </c>
      <c r="X152" s="54">
        <f t="shared" si="62"/>
        <v>0</v>
      </c>
      <c r="Y152" s="97" t="e">
        <f t="shared" si="66"/>
        <v>#DIV/0!</v>
      </c>
    </row>
    <row r="153" spans="1:25" x14ac:dyDescent="0.25">
      <c r="A153" s="86" t="s">
        <v>179</v>
      </c>
      <c r="B153" s="87">
        <v>145035</v>
      </c>
      <c r="C153" s="59">
        <v>833.33333333333337</v>
      </c>
      <c r="D153" s="59">
        <f>D154</f>
        <v>10000</v>
      </c>
      <c r="E153" s="49">
        <f t="shared" si="65"/>
        <v>-0.93105112559037473</v>
      </c>
      <c r="F153" s="59">
        <f>F154</f>
        <v>0</v>
      </c>
      <c r="G153" s="59">
        <f t="shared" ref="G153:X153" si="67">G154</f>
        <v>0</v>
      </c>
      <c r="H153" s="59">
        <f t="shared" si="67"/>
        <v>0</v>
      </c>
      <c r="I153" s="59">
        <f t="shared" si="67"/>
        <v>0</v>
      </c>
      <c r="J153" s="59">
        <f t="shared" si="67"/>
        <v>0</v>
      </c>
      <c r="K153" s="59">
        <f t="shared" si="67"/>
        <v>0</v>
      </c>
      <c r="L153" s="59">
        <f t="shared" si="67"/>
        <v>0</v>
      </c>
      <c r="M153" s="101">
        <f t="shared" si="61"/>
        <v>0</v>
      </c>
      <c r="N153" s="59">
        <f t="shared" si="67"/>
        <v>0</v>
      </c>
      <c r="O153" s="101">
        <f t="shared" si="64"/>
        <v>0</v>
      </c>
      <c r="P153" s="59">
        <f t="shared" si="67"/>
        <v>0</v>
      </c>
      <c r="Q153" s="101">
        <f t="shared" si="63"/>
        <v>0</v>
      </c>
      <c r="R153" s="59">
        <f t="shared" si="67"/>
        <v>0</v>
      </c>
      <c r="S153" s="101">
        <f t="shared" si="63"/>
        <v>0</v>
      </c>
      <c r="T153" s="59">
        <f t="shared" si="67"/>
        <v>0</v>
      </c>
      <c r="U153" s="101">
        <f t="shared" si="63"/>
        <v>0</v>
      </c>
      <c r="V153" s="59">
        <f t="shared" si="67"/>
        <v>0</v>
      </c>
      <c r="W153" s="101" t="e">
        <f t="shared" ref="W153:W165" si="68">V153/I153</f>
        <v>#DIV/0!</v>
      </c>
      <c r="X153" s="59">
        <f t="shared" si="67"/>
        <v>0</v>
      </c>
      <c r="Y153" s="101">
        <f t="shared" si="66"/>
        <v>0</v>
      </c>
    </row>
    <row r="154" spans="1:25" x14ac:dyDescent="0.25">
      <c r="A154" s="80" t="s">
        <v>180</v>
      </c>
      <c r="B154" s="81">
        <v>0</v>
      </c>
      <c r="C154" s="58">
        <v>833.33333333333337</v>
      </c>
      <c r="D154" s="58">
        <f>SUM(D155)</f>
        <v>10000</v>
      </c>
      <c r="E154" s="49">
        <f t="shared" si="65"/>
        <v>0</v>
      </c>
      <c r="F154" s="58">
        <f>SUM(F155)</f>
        <v>0</v>
      </c>
      <c r="G154" s="58">
        <f t="shared" ref="G154:X154" si="69">SUM(G155)</f>
        <v>0</v>
      </c>
      <c r="H154" s="58">
        <f t="shared" si="69"/>
        <v>0</v>
      </c>
      <c r="I154" s="58">
        <f t="shared" si="69"/>
        <v>0</v>
      </c>
      <c r="J154" s="58">
        <f t="shared" si="69"/>
        <v>0</v>
      </c>
      <c r="K154" s="58">
        <f t="shared" si="69"/>
        <v>0</v>
      </c>
      <c r="L154" s="58">
        <f t="shared" si="69"/>
        <v>0</v>
      </c>
      <c r="M154" s="100">
        <f t="shared" si="61"/>
        <v>0</v>
      </c>
      <c r="N154" s="58">
        <f t="shared" si="69"/>
        <v>0</v>
      </c>
      <c r="O154" s="100">
        <f t="shared" si="64"/>
        <v>0</v>
      </c>
      <c r="P154" s="58">
        <f t="shared" si="69"/>
        <v>0</v>
      </c>
      <c r="Q154" s="100">
        <f t="shared" si="63"/>
        <v>0</v>
      </c>
      <c r="R154" s="58">
        <f t="shared" si="69"/>
        <v>0</v>
      </c>
      <c r="S154" s="100">
        <f t="shared" si="63"/>
        <v>0</v>
      </c>
      <c r="T154" s="58">
        <f t="shared" si="69"/>
        <v>0</v>
      </c>
      <c r="U154" s="100">
        <f t="shared" si="63"/>
        <v>0</v>
      </c>
      <c r="V154" s="58">
        <f t="shared" si="69"/>
        <v>0</v>
      </c>
      <c r="W154" s="100" t="e">
        <f t="shared" si="68"/>
        <v>#DIV/0!</v>
      </c>
      <c r="X154" s="58">
        <f t="shared" si="69"/>
        <v>0</v>
      </c>
      <c r="Y154" s="100">
        <f t="shared" si="66"/>
        <v>0</v>
      </c>
    </row>
    <row r="155" spans="1:25" x14ac:dyDescent="0.25">
      <c r="A155" s="82" t="s">
        <v>181</v>
      </c>
      <c r="B155" s="74">
        <v>0</v>
      </c>
      <c r="C155" s="54">
        <v>833.33333333333337</v>
      </c>
      <c r="D155" s="54">
        <v>10000</v>
      </c>
      <c r="E155" s="49">
        <f t="shared" si="65"/>
        <v>0</v>
      </c>
      <c r="F155" s="54"/>
      <c r="G155" s="54"/>
      <c r="H155" s="54"/>
      <c r="I155" s="54"/>
      <c r="J155" s="54"/>
      <c r="K155" s="54"/>
      <c r="L155" s="54"/>
      <c r="M155" s="97">
        <f t="shared" si="61"/>
        <v>0</v>
      </c>
      <c r="N155" s="54"/>
      <c r="O155" s="97">
        <f t="shared" si="64"/>
        <v>0</v>
      </c>
      <c r="P155" s="54"/>
      <c r="Q155" s="97">
        <f t="shared" si="63"/>
        <v>0</v>
      </c>
      <c r="R155" s="54"/>
      <c r="S155" s="97">
        <f t="shared" si="63"/>
        <v>0</v>
      </c>
      <c r="T155" s="54"/>
      <c r="U155" s="97">
        <f t="shared" si="63"/>
        <v>0</v>
      </c>
      <c r="V155" s="54"/>
      <c r="W155" s="97" t="e">
        <f t="shared" si="68"/>
        <v>#DIV/0!</v>
      </c>
      <c r="X155" s="54">
        <f>V155+T155+R155+P155+N155+L155+K155+J155+I155+H155+G155+F155</f>
        <v>0</v>
      </c>
      <c r="Y155" s="97">
        <f t="shared" si="66"/>
        <v>0</v>
      </c>
    </row>
    <row r="156" spans="1:25" x14ac:dyDescent="0.25">
      <c r="A156" s="86" t="s">
        <v>94</v>
      </c>
      <c r="B156" s="87">
        <v>145035</v>
      </c>
      <c r="C156" s="59">
        <v>23000</v>
      </c>
      <c r="D156" s="59">
        <f>D157</f>
        <v>276000</v>
      </c>
      <c r="E156" s="49">
        <f t="shared" si="65"/>
        <v>0.90298893370565736</v>
      </c>
      <c r="F156" s="59">
        <f>F157</f>
        <v>15738.240000000002</v>
      </c>
      <c r="G156" s="59">
        <f t="shared" ref="G156:X156" si="70">G157</f>
        <v>4911.79</v>
      </c>
      <c r="H156" s="59">
        <f t="shared" si="70"/>
        <v>19680.510000000002</v>
      </c>
      <c r="I156" s="59">
        <f t="shared" si="70"/>
        <v>6157.29</v>
      </c>
      <c r="J156" s="59">
        <f t="shared" si="70"/>
        <v>23390.260000000002</v>
      </c>
      <c r="K156" s="59">
        <f t="shared" si="70"/>
        <v>16049.37</v>
      </c>
      <c r="L156" s="59">
        <f t="shared" si="70"/>
        <v>15927.52</v>
      </c>
      <c r="M156" s="101">
        <f t="shared" si="61"/>
        <v>0.69250086956521739</v>
      </c>
      <c r="N156" s="59">
        <f t="shared" si="70"/>
        <v>29403.11</v>
      </c>
      <c r="O156" s="101">
        <f t="shared" si="64"/>
        <v>1.2783960869565218</v>
      </c>
      <c r="P156" s="59">
        <f t="shared" si="70"/>
        <v>23356.739999999998</v>
      </c>
      <c r="Q156" s="101">
        <f t="shared" si="63"/>
        <v>1.0155104347826087</v>
      </c>
      <c r="R156" s="59">
        <f t="shared" si="70"/>
        <v>31852.2</v>
      </c>
      <c r="S156" s="101">
        <f t="shared" si="63"/>
        <v>1.3848782608695653</v>
      </c>
      <c r="T156" s="59">
        <f t="shared" si="70"/>
        <v>20046.650000000001</v>
      </c>
      <c r="U156" s="101">
        <f t="shared" si="63"/>
        <v>0.87159347826086964</v>
      </c>
      <c r="V156" s="59">
        <f t="shared" si="70"/>
        <v>0</v>
      </c>
      <c r="W156" s="101">
        <f t="shared" si="68"/>
        <v>0</v>
      </c>
      <c r="X156" s="59">
        <f t="shared" si="70"/>
        <v>206513.68</v>
      </c>
      <c r="Y156" s="101">
        <f t="shared" si="66"/>
        <v>0.74823797101449274</v>
      </c>
    </row>
    <row r="157" spans="1:25" x14ac:dyDescent="0.25">
      <c r="A157" s="80" t="s">
        <v>95</v>
      </c>
      <c r="B157" s="81">
        <v>145035.01653333334</v>
      </c>
      <c r="C157" s="58">
        <v>23000</v>
      </c>
      <c r="D157" s="58">
        <f>SUM(D158:D162)</f>
        <v>276000</v>
      </c>
      <c r="E157" s="49">
        <f t="shared" si="65"/>
        <v>0.90298871677355952</v>
      </c>
      <c r="F157" s="58">
        <f>SUM(F158:F162)</f>
        <v>15738.240000000002</v>
      </c>
      <c r="G157" s="58">
        <f t="shared" ref="G157:X157" si="71">SUM(G158:G162)</f>
        <v>4911.79</v>
      </c>
      <c r="H157" s="58">
        <f t="shared" si="71"/>
        <v>19680.510000000002</v>
      </c>
      <c r="I157" s="58">
        <f t="shared" si="71"/>
        <v>6157.29</v>
      </c>
      <c r="J157" s="58">
        <f t="shared" si="71"/>
        <v>23390.260000000002</v>
      </c>
      <c r="K157" s="58">
        <f t="shared" si="71"/>
        <v>16049.37</v>
      </c>
      <c r="L157" s="58">
        <f t="shared" si="71"/>
        <v>15927.52</v>
      </c>
      <c r="M157" s="100">
        <f t="shared" si="61"/>
        <v>0.69250086956521739</v>
      </c>
      <c r="N157" s="58">
        <f t="shared" si="71"/>
        <v>29403.11</v>
      </c>
      <c r="O157" s="100">
        <f t="shared" si="64"/>
        <v>1.2783960869565218</v>
      </c>
      <c r="P157" s="58">
        <f t="shared" si="71"/>
        <v>23356.739999999998</v>
      </c>
      <c r="Q157" s="100">
        <f t="shared" si="63"/>
        <v>1.0155104347826087</v>
      </c>
      <c r="R157" s="58">
        <f t="shared" si="71"/>
        <v>31852.2</v>
      </c>
      <c r="S157" s="100">
        <f t="shared" si="63"/>
        <v>1.3848782608695653</v>
      </c>
      <c r="T157" s="58">
        <f t="shared" si="71"/>
        <v>20046.650000000001</v>
      </c>
      <c r="U157" s="100">
        <f t="shared" si="63"/>
        <v>0.87159347826086964</v>
      </c>
      <c r="V157" s="58">
        <f t="shared" si="71"/>
        <v>0</v>
      </c>
      <c r="W157" s="100">
        <f t="shared" si="68"/>
        <v>0</v>
      </c>
      <c r="X157" s="58">
        <f t="shared" si="71"/>
        <v>206513.68</v>
      </c>
      <c r="Y157" s="100">
        <f t="shared" si="66"/>
        <v>0.74823797101449274</v>
      </c>
    </row>
    <row r="158" spans="1:25" x14ac:dyDescent="0.25">
      <c r="A158" s="82" t="s">
        <v>96</v>
      </c>
      <c r="B158" s="74">
        <v>18000</v>
      </c>
      <c r="C158" s="54">
        <v>1500</v>
      </c>
      <c r="D158" s="54">
        <v>18000</v>
      </c>
      <c r="E158" s="49">
        <f t="shared" si="65"/>
        <v>0</v>
      </c>
      <c r="F158" s="54">
        <v>0</v>
      </c>
      <c r="G158" s="54"/>
      <c r="H158" s="54">
        <v>7000</v>
      </c>
      <c r="I158" s="54">
        <v>181</v>
      </c>
      <c r="J158" s="54">
        <v>280</v>
      </c>
      <c r="K158" s="54"/>
      <c r="L158" s="54"/>
      <c r="M158" s="97">
        <f t="shared" si="61"/>
        <v>0</v>
      </c>
      <c r="N158" s="54">
        <v>260</v>
      </c>
      <c r="O158" s="97">
        <f t="shared" si="64"/>
        <v>0.17333333333333334</v>
      </c>
      <c r="P158" s="54"/>
      <c r="Q158" s="97">
        <f t="shared" si="63"/>
        <v>0</v>
      </c>
      <c r="R158" s="54"/>
      <c r="S158" s="97">
        <f t="shared" si="63"/>
        <v>0</v>
      </c>
      <c r="T158" s="54"/>
      <c r="U158" s="97">
        <f t="shared" si="63"/>
        <v>0</v>
      </c>
      <c r="V158" s="54"/>
      <c r="W158" s="97">
        <f t="shared" si="68"/>
        <v>0</v>
      </c>
      <c r="X158" s="54">
        <f>V158+T158+R158+P158+N158+L158+K158+J158+I158+H158+G158+F158</f>
        <v>7721</v>
      </c>
      <c r="Y158" s="97">
        <f t="shared" si="66"/>
        <v>0.42894444444444446</v>
      </c>
    </row>
    <row r="159" spans="1:25" ht="17.100000000000001" customHeight="1" x14ac:dyDescent="0.25">
      <c r="A159" s="84" t="s">
        <v>97</v>
      </c>
      <c r="B159" s="74">
        <v>84000</v>
      </c>
      <c r="C159" s="54">
        <v>7500</v>
      </c>
      <c r="D159" s="54">
        <v>90000</v>
      </c>
      <c r="E159" s="49">
        <f t="shared" si="65"/>
        <v>7.1428571428571397E-2</v>
      </c>
      <c r="F159" s="54">
        <v>7535</v>
      </c>
      <c r="G159" s="54">
        <v>2495.29</v>
      </c>
      <c r="H159" s="54">
        <v>2935.63</v>
      </c>
      <c r="I159" s="54">
        <v>2909.85</v>
      </c>
      <c r="J159" s="54">
        <v>11129.52</v>
      </c>
      <c r="K159" s="54">
        <v>8206.3700000000008</v>
      </c>
      <c r="L159" s="54">
        <v>5284.48</v>
      </c>
      <c r="M159" s="97">
        <f t="shared" si="61"/>
        <v>0.7045973333333333</v>
      </c>
      <c r="N159" s="54">
        <v>8084.11</v>
      </c>
      <c r="O159" s="97">
        <f t="shared" si="64"/>
        <v>1.0778813333333332</v>
      </c>
      <c r="P159" s="54">
        <f>13417.44-2801.6</f>
        <v>10615.84</v>
      </c>
      <c r="Q159" s="97">
        <f t="shared" si="63"/>
        <v>1.4154453333333334</v>
      </c>
      <c r="R159" s="54">
        <v>12060.2</v>
      </c>
      <c r="S159" s="97">
        <f t="shared" si="63"/>
        <v>1.6080266666666667</v>
      </c>
      <c r="T159" s="54">
        <v>7638.77</v>
      </c>
      <c r="U159" s="97">
        <f t="shared" si="63"/>
        <v>1.0185026666666668</v>
      </c>
      <c r="V159" s="54"/>
      <c r="W159" s="97">
        <f t="shared" si="68"/>
        <v>0</v>
      </c>
      <c r="X159" s="54">
        <f>V159+T159+R159+P159+N159+L159+K159+J159+I159+H159+G159+F159</f>
        <v>78895.06</v>
      </c>
      <c r="Y159" s="97">
        <f t="shared" si="66"/>
        <v>0.87661177777777777</v>
      </c>
    </row>
    <row r="160" spans="1:25" x14ac:dyDescent="0.25">
      <c r="A160" s="82" t="s">
        <v>98</v>
      </c>
      <c r="B160" s="74">
        <v>20400</v>
      </c>
      <c r="C160" s="54">
        <v>6666.666666666667</v>
      </c>
      <c r="D160" s="54">
        <v>80000</v>
      </c>
      <c r="E160" s="49">
        <f t="shared" si="65"/>
        <v>2.9215686274509802</v>
      </c>
      <c r="F160" s="54">
        <v>480.2</v>
      </c>
      <c r="G160" s="54">
        <v>996.5</v>
      </c>
      <c r="H160" s="54">
        <v>4617.7</v>
      </c>
      <c r="I160" s="54">
        <v>1163.4000000000001</v>
      </c>
      <c r="J160" s="54">
        <v>1402.7</v>
      </c>
      <c r="K160" s="54">
        <v>1407</v>
      </c>
      <c r="L160" s="54"/>
      <c r="M160" s="97">
        <f t="shared" si="61"/>
        <v>0</v>
      </c>
      <c r="N160" s="54">
        <v>104.1</v>
      </c>
      <c r="O160" s="97">
        <f t="shared" si="64"/>
        <v>1.5614999999999999E-2</v>
      </c>
      <c r="P160" s="54">
        <v>2148.9</v>
      </c>
      <c r="Q160" s="97">
        <f t="shared" si="63"/>
        <v>0.32233499999999998</v>
      </c>
      <c r="R160" s="54">
        <v>4326</v>
      </c>
      <c r="S160" s="97">
        <f t="shared" si="63"/>
        <v>0.64889999999999992</v>
      </c>
      <c r="T160" s="54">
        <v>1790</v>
      </c>
      <c r="U160" s="97">
        <f t="shared" si="63"/>
        <v>0.26849999999999996</v>
      </c>
      <c r="V160" s="54"/>
      <c r="W160" s="97">
        <f t="shared" si="68"/>
        <v>0</v>
      </c>
      <c r="X160" s="54">
        <f>V160+T160+R160+P160+N160+L160+K160+J160+I160+H160+G160+F160</f>
        <v>18436.5</v>
      </c>
      <c r="Y160" s="97">
        <f t="shared" si="66"/>
        <v>0.23045625</v>
      </c>
    </row>
    <row r="161" spans="1:25" x14ac:dyDescent="0.25">
      <c r="A161" s="82" t="s">
        <v>99</v>
      </c>
      <c r="B161" s="74">
        <v>4635.0165333333334</v>
      </c>
      <c r="C161" s="54">
        <v>5833.333333333333</v>
      </c>
      <c r="D161" s="54">
        <v>70000</v>
      </c>
      <c r="E161" s="49">
        <f t="shared" si="65"/>
        <v>14.102427250601105</v>
      </c>
      <c r="F161" s="54">
        <v>7000</v>
      </c>
      <c r="G161" s="54"/>
      <c r="H161" s="54">
        <v>2850</v>
      </c>
      <c r="I161" s="54">
        <v>160</v>
      </c>
      <c r="J161" s="54">
        <v>9350</v>
      </c>
      <c r="K161" s="54">
        <v>4125</v>
      </c>
      <c r="L161" s="54">
        <v>10000</v>
      </c>
      <c r="M161" s="97">
        <f t="shared" si="61"/>
        <v>1.7142857142857144</v>
      </c>
      <c r="N161" s="54">
        <v>19600</v>
      </c>
      <c r="O161" s="97">
        <f t="shared" si="64"/>
        <v>3.3600000000000003</v>
      </c>
      <c r="P161" s="54">
        <v>9635</v>
      </c>
      <c r="Q161" s="97">
        <f t="shared" si="63"/>
        <v>1.6517142857142857</v>
      </c>
      <c r="R161" s="54">
        <v>14290</v>
      </c>
      <c r="S161" s="97">
        <f t="shared" si="63"/>
        <v>2.4497142857142857</v>
      </c>
      <c r="T161" s="54">
        <v>2450</v>
      </c>
      <c r="U161" s="97">
        <f t="shared" si="63"/>
        <v>0.42000000000000004</v>
      </c>
      <c r="V161" s="54"/>
      <c r="W161" s="97">
        <f t="shared" si="68"/>
        <v>0</v>
      </c>
      <c r="X161" s="54">
        <f>V161+T161+R161+P161+N161+L161+K161+J161+I161+H161+G161+F161</f>
        <v>79460</v>
      </c>
      <c r="Y161" s="97">
        <f t="shared" si="66"/>
        <v>1.1351428571428572</v>
      </c>
    </row>
    <row r="162" spans="1:25" x14ac:dyDescent="0.25">
      <c r="A162" s="88" t="s">
        <v>100</v>
      </c>
      <c r="B162" s="74">
        <v>18000</v>
      </c>
      <c r="C162" s="54">
        <v>1500</v>
      </c>
      <c r="D162" s="54">
        <v>18000</v>
      </c>
      <c r="E162" s="49">
        <f t="shared" si="65"/>
        <v>0</v>
      </c>
      <c r="F162" s="54">
        <v>723.04</v>
      </c>
      <c r="G162" s="54">
        <v>1420</v>
      </c>
      <c r="H162" s="54">
        <v>2277.1799999999998</v>
      </c>
      <c r="I162" s="54">
        <v>1743.04</v>
      </c>
      <c r="J162" s="54">
        <v>1228.04</v>
      </c>
      <c r="K162" s="54">
        <v>2311</v>
      </c>
      <c r="L162" s="54">
        <v>643.04</v>
      </c>
      <c r="M162" s="97">
        <f t="shared" si="61"/>
        <v>0.42869333333333332</v>
      </c>
      <c r="N162" s="54">
        <v>1354.9</v>
      </c>
      <c r="O162" s="97">
        <f t="shared" si="64"/>
        <v>0.90326666666666677</v>
      </c>
      <c r="P162" s="54">
        <v>957</v>
      </c>
      <c r="Q162" s="97">
        <f t="shared" si="63"/>
        <v>0.63800000000000001</v>
      </c>
      <c r="R162" s="54">
        <v>1176</v>
      </c>
      <c r="S162" s="97">
        <f t="shared" si="63"/>
        <v>0.78400000000000003</v>
      </c>
      <c r="T162" s="54">
        <v>8167.88</v>
      </c>
      <c r="U162" s="97">
        <f t="shared" si="63"/>
        <v>5.4452533333333335</v>
      </c>
      <c r="V162" s="54"/>
      <c r="W162" s="97">
        <f t="shared" si="68"/>
        <v>0</v>
      </c>
      <c r="X162" s="54">
        <f>V162+T162+R162+P162+N162+L162+K162+J162+I162+H162+G162+F162</f>
        <v>22001.120000000003</v>
      </c>
      <c r="Y162" s="97">
        <f t="shared" si="66"/>
        <v>1.2222844444444445</v>
      </c>
    </row>
    <row r="163" spans="1:25" x14ac:dyDescent="0.25">
      <c r="A163" s="80" t="s">
        <v>101</v>
      </c>
      <c r="B163" s="81">
        <v>46275.562666666665</v>
      </c>
      <c r="C163" s="58">
        <v>2978.22</v>
      </c>
      <c r="D163" s="58">
        <f>SUM(D164:D167)</f>
        <v>35738.639999999999</v>
      </c>
      <c r="E163" s="49">
        <f t="shared" si="65"/>
        <v>-0.22769950400314953</v>
      </c>
      <c r="F163" s="58">
        <f>SUM(F164:F167)</f>
        <v>2447.42</v>
      </c>
      <c r="G163" s="58">
        <f t="shared" ref="G163:X163" si="72">SUM(G164:G167)</f>
        <v>3912.55</v>
      </c>
      <c r="H163" s="58">
        <f t="shared" si="72"/>
        <v>2770.64</v>
      </c>
      <c r="I163" s="58">
        <f t="shared" si="72"/>
        <v>3808.84</v>
      </c>
      <c r="J163" s="58">
        <f t="shared" si="72"/>
        <v>2990.5099999999998</v>
      </c>
      <c r="K163" s="58">
        <f t="shared" si="72"/>
        <v>2915.94</v>
      </c>
      <c r="L163" s="58">
        <f t="shared" si="72"/>
        <v>3404.78</v>
      </c>
      <c r="M163" s="100">
        <f t="shared" si="61"/>
        <v>1.1432264909912633</v>
      </c>
      <c r="N163" s="58">
        <f t="shared" si="72"/>
        <v>2983.69</v>
      </c>
      <c r="O163" s="100">
        <f t="shared" si="64"/>
        <v>1.0018366675396715</v>
      </c>
      <c r="P163" s="58">
        <f t="shared" si="72"/>
        <v>6443.1599999999989</v>
      </c>
      <c r="Q163" s="100">
        <f t="shared" si="63"/>
        <v>2.1634264762173379</v>
      </c>
      <c r="R163" s="58">
        <f t="shared" si="72"/>
        <v>4140.09</v>
      </c>
      <c r="S163" s="100">
        <f t="shared" si="63"/>
        <v>1.390122287809497</v>
      </c>
      <c r="T163" s="58">
        <f t="shared" si="72"/>
        <v>5581.5099999999993</v>
      </c>
      <c r="U163" s="100">
        <f t="shared" si="63"/>
        <v>1.8741093673402232</v>
      </c>
      <c r="V163" s="58">
        <f t="shared" si="72"/>
        <v>0</v>
      </c>
      <c r="W163" s="100">
        <f t="shared" si="68"/>
        <v>0</v>
      </c>
      <c r="X163" s="58">
        <f t="shared" si="72"/>
        <v>41399.129999999997</v>
      </c>
      <c r="Y163" s="100">
        <f t="shared" si="66"/>
        <v>1.1583857136141722</v>
      </c>
    </row>
    <row r="164" spans="1:25" x14ac:dyDescent="0.25">
      <c r="A164" s="82" t="s">
        <v>102</v>
      </c>
      <c r="B164" s="74">
        <v>14094.024533333333</v>
      </c>
      <c r="C164" s="54">
        <v>622.32666666666671</v>
      </c>
      <c r="D164" s="54">
        <f>C164*12</f>
        <v>7467.92</v>
      </c>
      <c r="E164" s="49">
        <f t="shared" si="65"/>
        <v>-0.47013573146989651</v>
      </c>
      <c r="F164" s="54"/>
      <c r="G164" s="54">
        <v>1830.4</v>
      </c>
      <c r="H164" s="54">
        <f>598.48-536.48</f>
        <v>62</v>
      </c>
      <c r="I164" s="54">
        <v>1109.1500000000001</v>
      </c>
      <c r="J164" s="54"/>
      <c r="K164" s="54"/>
      <c r="L164" s="54">
        <v>495.4</v>
      </c>
      <c r="M164" s="97">
        <f t="shared" si="61"/>
        <v>0.79604494959774597</v>
      </c>
      <c r="N164" s="54"/>
      <c r="O164" s="97">
        <f t="shared" si="64"/>
        <v>0</v>
      </c>
      <c r="P164" s="54">
        <v>3692.81</v>
      </c>
      <c r="Q164" s="97">
        <f t="shared" si="63"/>
        <v>5.9338771706177891</v>
      </c>
      <c r="R164" s="54">
        <v>1521.78</v>
      </c>
      <c r="S164" s="97">
        <f t="shared" si="63"/>
        <v>2.4453073948301531</v>
      </c>
      <c r="T164" s="54">
        <v>2707.6</v>
      </c>
      <c r="U164" s="97">
        <f t="shared" si="63"/>
        <v>4.3507696922302319</v>
      </c>
      <c r="V164" s="54"/>
      <c r="W164" s="97">
        <f t="shared" si="68"/>
        <v>0</v>
      </c>
      <c r="X164" s="54">
        <f>V164+T164+R164+P164+N164+L164+K164+J164+I164+H164+G164+F164</f>
        <v>11419.14</v>
      </c>
      <c r="Y164" s="97">
        <f t="shared" si="66"/>
        <v>1.5290924380550406</v>
      </c>
    </row>
    <row r="165" spans="1:25" x14ac:dyDescent="0.25">
      <c r="A165" s="85" t="s">
        <v>103</v>
      </c>
      <c r="B165" s="74">
        <v>30824.7264</v>
      </c>
      <c r="C165" s="54">
        <v>1988.68</v>
      </c>
      <c r="D165" s="54">
        <f>C165*12</f>
        <v>23864.16</v>
      </c>
      <c r="E165" s="49">
        <f t="shared" si="65"/>
        <v>-0.22581113323361079</v>
      </c>
      <c r="F165" s="54">
        <f>1852.51+40.67+138.92</f>
        <v>2032.1000000000001</v>
      </c>
      <c r="G165" s="54">
        <v>1696.5</v>
      </c>
      <c r="H165" s="54">
        <v>2272.16</v>
      </c>
      <c r="I165" s="54">
        <v>2207.0500000000002</v>
      </c>
      <c r="J165" s="54">
        <v>2596.2199999999998</v>
      </c>
      <c r="K165" s="54">
        <v>2520.9</v>
      </c>
      <c r="L165" s="54">
        <v>2601.11</v>
      </c>
      <c r="M165" s="97">
        <f t="shared" si="61"/>
        <v>1.3079580425206669</v>
      </c>
      <c r="N165" s="54">
        <v>2590.56</v>
      </c>
      <c r="O165" s="97">
        <f t="shared" si="64"/>
        <v>1.3026530160709615</v>
      </c>
      <c r="P165" s="54">
        <v>2405.91</v>
      </c>
      <c r="Q165" s="97">
        <f t="shared" si="63"/>
        <v>1.2098024820483937</v>
      </c>
      <c r="R165" s="54">
        <v>2618.31</v>
      </c>
      <c r="S165" s="97">
        <f t="shared" si="63"/>
        <v>1.3166069955950681</v>
      </c>
      <c r="T165" s="54">
        <v>2475.54</v>
      </c>
      <c r="U165" s="97">
        <f t="shared" si="63"/>
        <v>1.244815656616449</v>
      </c>
      <c r="V165" s="54"/>
      <c r="W165" s="97">
        <f t="shared" si="68"/>
        <v>0</v>
      </c>
      <c r="X165" s="54">
        <f>V165+T165+R165+P165+N165+L165+K165+J165+I165+H165+G165+F165</f>
        <v>26016.359999999997</v>
      </c>
      <c r="Y165" s="97">
        <f t="shared" si="66"/>
        <v>1.0901854496449905</v>
      </c>
    </row>
    <row r="166" spans="1:25" x14ac:dyDescent="0.25">
      <c r="A166" s="82" t="s">
        <v>104</v>
      </c>
      <c r="B166" s="74"/>
      <c r="C166" s="54">
        <v>0</v>
      </c>
      <c r="D166" s="54">
        <v>0</v>
      </c>
      <c r="E166" s="49">
        <f t="shared" si="65"/>
        <v>0</v>
      </c>
      <c r="F166" s="54"/>
      <c r="G166" s="54"/>
      <c r="H166" s="54"/>
      <c r="I166" s="54"/>
      <c r="J166" s="54"/>
      <c r="K166" s="54"/>
      <c r="L166" s="54"/>
      <c r="M166" s="97"/>
      <c r="N166" s="54"/>
      <c r="O166" s="97" t="e">
        <f t="shared" si="64"/>
        <v>#DIV/0!</v>
      </c>
      <c r="P166" s="54"/>
      <c r="Q166" s="97" t="e">
        <f t="shared" si="63"/>
        <v>#DIV/0!</v>
      </c>
      <c r="R166" s="54"/>
      <c r="S166" s="97" t="e">
        <f t="shared" si="63"/>
        <v>#DIV/0!</v>
      </c>
      <c r="T166" s="54"/>
      <c r="U166" s="97" t="e">
        <f t="shared" si="63"/>
        <v>#DIV/0!</v>
      </c>
      <c r="V166" s="54"/>
      <c r="W166" s="97"/>
      <c r="X166" s="54">
        <f>V166+T166+R166+P166+N166+L166+K166+J166+I166+H166+G166+F166</f>
        <v>0</v>
      </c>
      <c r="Y166" s="97" t="e">
        <f t="shared" si="66"/>
        <v>#DIV/0!</v>
      </c>
    </row>
    <row r="167" spans="1:25" x14ac:dyDescent="0.25">
      <c r="A167" s="82" t="s">
        <v>105</v>
      </c>
      <c r="B167" s="74">
        <v>1356.8117333333334</v>
      </c>
      <c r="C167" s="54">
        <v>367.21333333333331</v>
      </c>
      <c r="D167" s="54">
        <f t="shared" ref="D167" si="73">C167*12</f>
        <v>4406.5599999999995</v>
      </c>
      <c r="E167" s="49">
        <f t="shared" si="65"/>
        <v>2.2477313482351953</v>
      </c>
      <c r="F167" s="54">
        <v>415.32</v>
      </c>
      <c r="G167" s="54">
        <v>385.65</v>
      </c>
      <c r="H167" s="54">
        <v>436.48</v>
      </c>
      <c r="I167" s="54">
        <v>492.64</v>
      </c>
      <c r="J167" s="54">
        <v>394.29</v>
      </c>
      <c r="K167" s="54">
        <v>395.04</v>
      </c>
      <c r="L167" s="54">
        <v>308.27</v>
      </c>
      <c r="M167" s="97">
        <f t="shared" si="61"/>
        <v>0.83948476816382844</v>
      </c>
      <c r="N167" s="54">
        <v>393.13</v>
      </c>
      <c r="O167" s="97">
        <f t="shared" si="64"/>
        <v>1.070576594894884</v>
      </c>
      <c r="P167" s="54">
        <v>344.44</v>
      </c>
      <c r="Q167" s="97">
        <f t="shared" si="63"/>
        <v>0.93798337024799394</v>
      </c>
      <c r="R167" s="54"/>
      <c r="S167" s="97">
        <f t="shared" si="63"/>
        <v>0</v>
      </c>
      <c r="T167" s="54">
        <v>398.37</v>
      </c>
      <c r="U167" s="97">
        <f t="shared" si="63"/>
        <v>1.0848462292581968</v>
      </c>
      <c r="V167" s="54"/>
      <c r="W167" s="97">
        <f>V167/I167</f>
        <v>0</v>
      </c>
      <c r="X167" s="54">
        <f>V167+T167+R167+P167+N167+L167+K167+J167+I167+H167+G167+F167</f>
        <v>3963.63</v>
      </c>
      <c r="Y167" s="97">
        <f t="shared" si="66"/>
        <v>0.89948395120002922</v>
      </c>
    </row>
    <row r="168" spans="1:25" hidden="1" x14ac:dyDescent="0.25">
      <c r="A168" s="27"/>
      <c r="B168" s="53"/>
      <c r="C168" s="55"/>
      <c r="D168" s="55"/>
      <c r="E168" s="50"/>
    </row>
  </sheetData>
  <pageMargins left="0.511811024" right="0.511811024" top="0.78740157499999996" bottom="0.78740157499999996" header="0.31496062000000002" footer="0.31496062000000002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4"/>
  <sheetViews>
    <sheetView zoomScale="125" workbookViewId="0">
      <selection activeCell="A16" sqref="A16"/>
    </sheetView>
  </sheetViews>
  <sheetFormatPr defaultColWidth="8.85546875" defaultRowHeight="15" x14ac:dyDescent="0.25"/>
  <cols>
    <col min="1" max="1" width="33" bestFit="1" customWidth="1"/>
    <col min="2" max="2" width="11.42578125" style="10" bestFit="1" customWidth="1"/>
    <col min="3" max="3" width="17.85546875" style="12" bestFit="1" customWidth="1"/>
    <col min="4" max="4" width="14" style="12" bestFit="1" customWidth="1"/>
    <col min="5" max="5" width="14.7109375" bestFit="1" customWidth="1"/>
    <col min="6" max="6" width="10.42578125" style="3" hidden="1" customWidth="1"/>
    <col min="7" max="7" width="14.28515625" style="3" hidden="1" customWidth="1"/>
    <col min="8" max="8" width="0" hidden="1" customWidth="1"/>
    <col min="9" max="9" width="16.28515625" style="13" hidden="1" customWidth="1"/>
    <col min="10" max="10" width="13.42578125" style="13" hidden="1" customWidth="1"/>
    <col min="11" max="11" width="13.85546875" hidden="1" customWidth="1"/>
    <col min="12" max="12" width="11.28515625" hidden="1" customWidth="1"/>
    <col min="13" max="13" width="12.28515625" bestFit="1" customWidth="1"/>
  </cols>
  <sheetData>
    <row r="1" spans="1:12" s="9" customFormat="1" ht="30" x14ac:dyDescent="0.25">
      <c r="A1" s="91" t="s">
        <v>135</v>
      </c>
      <c r="B1" s="91" t="s">
        <v>136</v>
      </c>
      <c r="C1" s="92" t="s">
        <v>137</v>
      </c>
      <c r="D1" s="92" t="s">
        <v>197</v>
      </c>
      <c r="E1" s="93" t="s">
        <v>198</v>
      </c>
      <c r="F1" s="17" t="s">
        <v>146</v>
      </c>
      <c r="G1" s="17" t="s">
        <v>122</v>
      </c>
      <c r="I1" s="11" t="s">
        <v>150</v>
      </c>
      <c r="J1" s="11" t="s">
        <v>151</v>
      </c>
      <c r="K1" s="9" t="s">
        <v>152</v>
      </c>
      <c r="L1" s="9" t="s">
        <v>153</v>
      </c>
    </row>
    <row r="2" spans="1:12" s="9" customFormat="1" hidden="1" x14ac:dyDescent="0.25">
      <c r="C2" s="11"/>
      <c r="D2" s="11"/>
      <c r="E2" s="90"/>
      <c r="F2" s="17"/>
      <c r="G2" s="17"/>
      <c r="I2" s="11"/>
      <c r="J2" s="11"/>
    </row>
    <row r="3" spans="1:12" x14ac:dyDescent="0.25">
      <c r="A3" t="s">
        <v>138</v>
      </c>
      <c r="B3" s="10">
        <v>220</v>
      </c>
      <c r="C3" s="12">
        <v>748.62</v>
      </c>
      <c r="D3" s="12">
        <f>(C3*12)*B3</f>
        <v>1976356.8</v>
      </c>
      <c r="G3" s="3">
        <f t="shared" ref="G3:G8" si="0">(F3*B3)*12</f>
        <v>0</v>
      </c>
    </row>
    <row r="4" spans="1:12" x14ac:dyDescent="0.25">
      <c r="A4" t="s">
        <v>173</v>
      </c>
      <c r="B4" s="10">
        <v>3</v>
      </c>
      <c r="C4" s="12">
        <v>648.97</v>
      </c>
      <c r="D4" s="12">
        <f>(C4*12)*B4</f>
        <v>23362.920000000002</v>
      </c>
      <c r="G4" s="3">
        <f t="shared" si="0"/>
        <v>0</v>
      </c>
    </row>
    <row r="5" spans="1:12" x14ac:dyDescent="0.25">
      <c r="A5" t="s">
        <v>139</v>
      </c>
      <c r="B5" s="10">
        <v>17</v>
      </c>
      <c r="C5" s="12">
        <v>374.31</v>
      </c>
      <c r="D5" s="12">
        <f t="shared" ref="D5:D8" si="1">(C5*12)*B5</f>
        <v>76359.240000000005</v>
      </c>
      <c r="G5" s="3">
        <f t="shared" si="0"/>
        <v>0</v>
      </c>
    </row>
    <row r="6" spans="1:12" x14ac:dyDescent="0.25">
      <c r="A6" t="s">
        <v>143</v>
      </c>
      <c r="B6" s="10">
        <v>2</v>
      </c>
      <c r="C6" s="12">
        <v>524.03</v>
      </c>
      <c r="D6" s="12">
        <f t="shared" si="1"/>
        <v>12576.72</v>
      </c>
      <c r="G6" s="3">
        <f t="shared" si="0"/>
        <v>0</v>
      </c>
    </row>
    <row r="7" spans="1:12" x14ac:dyDescent="0.25">
      <c r="A7" t="s">
        <v>144</v>
      </c>
      <c r="B7" s="10">
        <v>3</v>
      </c>
      <c r="C7" s="12">
        <v>374.31</v>
      </c>
      <c r="D7" s="12">
        <f t="shared" si="1"/>
        <v>13475.16</v>
      </c>
      <c r="G7" s="3">
        <f t="shared" si="0"/>
        <v>0</v>
      </c>
    </row>
    <row r="8" spans="1:12" x14ac:dyDescent="0.25">
      <c r="A8" t="s">
        <v>145</v>
      </c>
      <c r="B8" s="10">
        <v>4</v>
      </c>
      <c r="C8" s="12">
        <v>74.86</v>
      </c>
      <c r="D8" s="12">
        <f t="shared" si="1"/>
        <v>3593.2799999999997</v>
      </c>
      <c r="G8" s="3">
        <f t="shared" si="0"/>
        <v>0</v>
      </c>
    </row>
    <row r="9" spans="1:12" x14ac:dyDescent="0.25">
      <c r="A9" t="s">
        <v>154</v>
      </c>
      <c r="B9" s="10">
        <v>65</v>
      </c>
      <c r="D9" s="12">
        <f t="shared" ref="D9:D11" si="2">(C9*12)*B9</f>
        <v>0</v>
      </c>
    </row>
    <row r="10" spans="1:12" x14ac:dyDescent="0.25">
      <c r="A10" t="s">
        <v>141</v>
      </c>
      <c r="B10" s="10">
        <v>0</v>
      </c>
      <c r="D10" s="12">
        <f t="shared" si="2"/>
        <v>0</v>
      </c>
    </row>
    <row r="11" spans="1:12" x14ac:dyDescent="0.25">
      <c r="A11" t="s">
        <v>142</v>
      </c>
      <c r="B11" s="10">
        <v>9</v>
      </c>
      <c r="D11" s="12">
        <f t="shared" si="2"/>
        <v>0</v>
      </c>
    </row>
    <row r="12" spans="1:12" x14ac:dyDescent="0.25">
      <c r="B12" s="10">
        <f>SUM(B3:B11)</f>
        <v>323</v>
      </c>
      <c r="C12" s="92" t="s">
        <v>125</v>
      </c>
      <c r="D12" s="92">
        <f>SUM(D3:D11)</f>
        <v>2105724.1199999996</v>
      </c>
      <c r="E12" s="94">
        <f>(D12*11.5%)+D12</f>
        <v>2347882.3937999997</v>
      </c>
    </row>
    <row r="13" spans="1:12" x14ac:dyDescent="0.25">
      <c r="E13" s="89"/>
      <c r="I13" s="13">
        <f>2354880*88.5</f>
        <v>208406880</v>
      </c>
    </row>
    <row r="14" spans="1:12" x14ac:dyDescent="0.25">
      <c r="A14" t="s">
        <v>140</v>
      </c>
      <c r="B14" s="10">
        <v>16</v>
      </c>
      <c r="C14" s="12">
        <v>374.31</v>
      </c>
      <c r="D14" s="12">
        <f>(C14*12)*B14</f>
        <v>71867.520000000004</v>
      </c>
      <c r="E14" s="89">
        <f>D14*1.115</f>
        <v>80132.284800000009</v>
      </c>
      <c r="G14" s="3">
        <f t="shared" ref="G14" si="3">(F14*B14)*12</f>
        <v>0</v>
      </c>
      <c r="I14" s="13">
        <f>I13/100</f>
        <v>2084068.8</v>
      </c>
    </row>
    <row r="15" spans="1:12" x14ac:dyDescent="0.25">
      <c r="G15" s="3">
        <f>SUM(G3:G14)</f>
        <v>0</v>
      </c>
    </row>
    <row r="16" spans="1:12" x14ac:dyDescent="0.25">
      <c r="D16" s="10"/>
      <c r="E16" s="89"/>
    </row>
    <row r="17" spans="5:5" x14ac:dyDescent="0.25">
      <c r="E17" s="89"/>
    </row>
    <row r="18" spans="5:5" x14ac:dyDescent="0.25">
      <c r="E18" s="89"/>
    </row>
    <row r="34" spans="1:4" x14ac:dyDescent="0.25">
      <c r="A34" t="s">
        <v>140</v>
      </c>
      <c r="B34" s="10">
        <v>14</v>
      </c>
      <c r="C34" s="12">
        <v>301.06</v>
      </c>
      <c r="D34" s="12">
        <f>(C34*12)*B34</f>
        <v>50578.080000000002</v>
      </c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zoomScale="125" workbookViewId="0">
      <selection activeCell="F8" sqref="F8"/>
    </sheetView>
  </sheetViews>
  <sheetFormatPr defaultColWidth="8.85546875" defaultRowHeight="15" x14ac:dyDescent="0.25"/>
  <cols>
    <col min="1" max="1" width="13.28515625" bestFit="1" customWidth="1"/>
    <col min="2" max="2" width="10.28515625" style="13" bestFit="1" customWidth="1"/>
    <col min="3" max="3" width="9.140625" style="10"/>
    <col min="4" max="4" width="11.28515625" style="13" bestFit="1" customWidth="1"/>
    <col min="5" max="5" width="3.28515625" customWidth="1"/>
    <col min="6" max="6" width="20.42578125" bestFit="1" customWidth="1"/>
  </cols>
  <sheetData>
    <row r="1" spans="1:6" s="9" customFormat="1" x14ac:dyDescent="0.25">
      <c r="B1" s="11" t="s">
        <v>121</v>
      </c>
      <c r="C1" s="9" t="s">
        <v>149</v>
      </c>
      <c r="D1" s="11" t="s">
        <v>122</v>
      </c>
    </row>
    <row r="2" spans="1:6" s="9" customFormat="1" x14ac:dyDescent="0.25">
      <c r="A2" s="15" t="s">
        <v>167</v>
      </c>
      <c r="B2" s="16">
        <v>4000</v>
      </c>
      <c r="C2" s="14">
        <v>10</v>
      </c>
      <c r="D2" s="16">
        <f>C2*B2</f>
        <v>40000</v>
      </c>
      <c r="F2" t="s">
        <v>170</v>
      </c>
    </row>
    <row r="3" spans="1:6" x14ac:dyDescent="0.25">
      <c r="A3" t="s">
        <v>168</v>
      </c>
      <c r="B3" s="13">
        <v>2000</v>
      </c>
      <c r="C3" s="10">
        <v>2</v>
      </c>
      <c r="D3" s="16">
        <f t="shared" ref="D3:D5" si="0">C3*B3</f>
        <v>4000</v>
      </c>
      <c r="F3" t="s">
        <v>169</v>
      </c>
    </row>
    <row r="4" spans="1:6" x14ac:dyDescent="0.25">
      <c r="A4" t="s">
        <v>104</v>
      </c>
      <c r="B4" s="13">
        <v>2000</v>
      </c>
      <c r="C4" s="10">
        <v>12</v>
      </c>
      <c r="D4" s="16">
        <f t="shared" si="0"/>
        <v>24000</v>
      </c>
    </row>
    <row r="5" spans="1:6" x14ac:dyDescent="0.25">
      <c r="A5" t="s">
        <v>148</v>
      </c>
      <c r="B5" s="13">
        <v>950</v>
      </c>
      <c r="C5" s="10">
        <v>12</v>
      </c>
      <c r="D5" s="16">
        <f t="shared" si="0"/>
        <v>11400</v>
      </c>
    </row>
    <row r="6" spans="1:6" x14ac:dyDescent="0.25">
      <c r="D6" s="13">
        <f>SUM(D2:D5)</f>
        <v>79400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resumo</vt:lpstr>
      <vt:lpstr>Budget</vt:lpstr>
      <vt:lpstr>Mensalidades</vt:lpstr>
      <vt:lpstr>Concessionario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Financeiro</dc:creator>
  <cp:lastModifiedBy>Irene</cp:lastModifiedBy>
  <cp:lastPrinted>2021-11-25T21:34:45Z</cp:lastPrinted>
  <dcterms:created xsi:type="dcterms:W3CDTF">2019-03-12T14:05:57Z</dcterms:created>
  <dcterms:modified xsi:type="dcterms:W3CDTF">2023-01-05T20:12:52Z</dcterms:modified>
</cp:coreProperties>
</file>