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ene\Desktop\"/>
    </mc:Choice>
  </mc:AlternateContent>
  <bookViews>
    <workbookView xWindow="0" yWindow="0" windowWidth="20490" windowHeight="7620" activeTab="1"/>
  </bookViews>
  <sheets>
    <sheet name="resumo" sheetId="3" r:id="rId1"/>
    <sheet name="Budget" sheetId="1" r:id="rId2"/>
    <sheet name="Mensalidades" sheetId="4" r:id="rId3"/>
    <sheet name="Concessionario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D154" i="1" l="1"/>
  <c r="CD153" i="1"/>
  <c r="CD152" i="1"/>
  <c r="CD137" i="1"/>
  <c r="CD141" i="1"/>
  <c r="CD142" i="1"/>
  <c r="CD146" i="1"/>
  <c r="CD118" i="1"/>
  <c r="CD123" i="1"/>
  <c r="CD119" i="1"/>
  <c r="CD117" i="1"/>
  <c r="CD57" i="1"/>
  <c r="CD81" i="1"/>
  <c r="CD62" i="1"/>
  <c r="CD64" i="1"/>
  <c r="CD61" i="1"/>
  <c r="CD59" i="1"/>
  <c r="CD60" i="1"/>
  <c r="CD54" i="1"/>
  <c r="CD105" i="1"/>
  <c r="CD87" i="1"/>
  <c r="CD89" i="1"/>
  <c r="CD74" i="1"/>
  <c r="CD72" i="1"/>
  <c r="CD69" i="1"/>
  <c r="CD82" i="1"/>
  <c r="CD32" i="1"/>
  <c r="CD26" i="1"/>
  <c r="CD28" i="1"/>
  <c r="CD27" i="1"/>
  <c r="CD35" i="1"/>
  <c r="BZ26" i="1" l="1"/>
  <c r="CB136" i="1" l="1"/>
  <c r="CB130" i="1"/>
  <c r="CB124" i="1"/>
  <c r="CB81" i="1"/>
  <c r="CB61" i="1"/>
  <c r="CB105" i="1"/>
  <c r="CB82" i="1"/>
  <c r="CB137" i="1" l="1"/>
  <c r="CB141" i="1"/>
  <c r="CB135" i="1"/>
  <c r="CB142" i="1"/>
  <c r="CB118" i="1"/>
  <c r="CB123" i="1"/>
  <c r="CB117" i="1"/>
  <c r="CB57" i="1"/>
  <c r="CB62" i="1"/>
  <c r="CB64" i="1"/>
  <c r="CB54" i="1"/>
  <c r="CB26" i="1" l="1"/>
  <c r="CB27" i="1"/>
  <c r="CB35" i="1"/>
  <c r="BX153" i="1" l="1"/>
  <c r="BX155" i="1"/>
  <c r="BX152" i="1"/>
  <c r="BX137" i="1"/>
  <c r="BX141" i="1"/>
  <c r="BX135" i="1"/>
  <c r="BX145" i="1"/>
  <c r="BX118" i="1"/>
  <c r="BX123" i="1"/>
  <c r="BX117" i="1"/>
  <c r="BX130" i="1"/>
  <c r="BX57" i="1"/>
  <c r="BX81" i="1"/>
  <c r="BX62" i="1"/>
  <c r="BX64" i="1"/>
  <c r="BX61" i="1"/>
  <c r="BX59" i="1"/>
  <c r="BX54" i="1"/>
  <c r="BX106" i="1"/>
  <c r="BX90" i="1"/>
  <c r="BX89" i="1"/>
  <c r="BX74" i="1"/>
  <c r="BX72" i="1"/>
  <c r="BX26" i="1"/>
  <c r="BX27" i="1"/>
  <c r="BX35" i="1"/>
  <c r="BV146" i="1" l="1"/>
  <c r="BV142" i="1"/>
  <c r="BV152" i="1"/>
  <c r="BV137" i="1"/>
  <c r="BV141" i="1"/>
  <c r="BV135" i="1"/>
  <c r="BV118" i="1"/>
  <c r="BV123" i="1"/>
  <c r="BV117" i="1"/>
  <c r="BV57" i="1" l="1"/>
  <c r="BV81" i="1"/>
  <c r="BV62" i="1"/>
  <c r="BV64" i="1"/>
  <c r="BV61" i="1"/>
  <c r="BV54" i="1"/>
  <c r="BV106" i="1"/>
  <c r="BV90" i="1"/>
  <c r="BV72" i="1"/>
  <c r="BV82" i="1"/>
  <c r="BV26" i="1"/>
  <c r="BV27" i="1"/>
  <c r="BV35" i="1"/>
  <c r="BT142" i="1" l="1"/>
  <c r="BT82" i="1"/>
  <c r="BT74" i="1"/>
  <c r="BT137" i="1" l="1"/>
  <c r="BT135" i="1"/>
  <c r="BT141" i="1"/>
  <c r="BT118" i="1"/>
  <c r="BT123" i="1"/>
  <c r="BT117" i="1"/>
  <c r="BT130" i="1"/>
  <c r="BT57" i="1"/>
  <c r="BT81" i="1"/>
  <c r="BT62" i="1"/>
  <c r="BT64" i="1"/>
  <c r="BT61" i="1"/>
  <c r="BT59" i="1"/>
  <c r="BT54" i="1"/>
  <c r="BT89" i="1"/>
  <c r="BT90" i="1"/>
  <c r="BT73" i="1"/>
  <c r="BT106" i="1"/>
  <c r="BT27" i="1"/>
  <c r="BT29" i="1"/>
  <c r="BT26" i="1"/>
  <c r="BT35" i="1"/>
  <c r="BR142" i="1" l="1"/>
  <c r="BR132" i="1"/>
  <c r="BR57" i="1"/>
  <c r="BR59" i="1"/>
  <c r="BR82" i="1"/>
  <c r="BR137" i="1" l="1"/>
  <c r="BR141" i="1"/>
  <c r="BR135" i="1"/>
  <c r="BR116" i="1"/>
  <c r="BR118" i="1"/>
  <c r="BR123" i="1"/>
  <c r="BR117" i="1"/>
  <c r="BR62" i="1" l="1"/>
  <c r="BR64" i="1"/>
  <c r="BR61" i="1"/>
  <c r="BN90" i="1"/>
  <c r="BR26" i="1"/>
  <c r="BR27" i="1"/>
  <c r="BR35" i="1"/>
  <c r="BP158" i="1" l="1"/>
  <c r="BP153" i="1"/>
  <c r="BP155" i="1"/>
  <c r="BP89" i="1"/>
  <c r="BP152" i="1"/>
  <c r="BP137" i="1"/>
  <c r="BP141" i="1"/>
  <c r="BP135" i="1"/>
  <c r="BP146" i="1"/>
  <c r="BP118" i="1"/>
  <c r="BP123" i="1"/>
  <c r="BP117" i="1"/>
  <c r="BP57" i="1"/>
  <c r="BP62" i="1"/>
  <c r="BP64" i="1"/>
  <c r="BP61" i="1"/>
  <c r="BP54" i="1"/>
  <c r="BP103" i="1"/>
  <c r="BP94" i="1"/>
  <c r="BP90" i="1"/>
  <c r="BP72" i="1"/>
  <c r="BP82" i="1"/>
  <c r="BP31" i="1"/>
  <c r="BP26" i="1"/>
  <c r="BP27" i="1"/>
  <c r="BP35" i="1"/>
  <c r="BL146" i="1" l="1"/>
  <c r="BJ146" i="1"/>
  <c r="BN135" i="1"/>
  <c r="BN117" i="1"/>
  <c r="BN15" i="1"/>
  <c r="BN137" i="1"/>
  <c r="BN141" i="1"/>
  <c r="BL144" i="1"/>
  <c r="CF146" i="1"/>
  <c r="BN118" i="1"/>
  <c r="BN123" i="1"/>
  <c r="BN57" i="1"/>
  <c r="BN62" i="1"/>
  <c r="BN64" i="1"/>
  <c r="BN61" i="1"/>
  <c r="BN59" i="1"/>
  <c r="BN87" i="1"/>
  <c r="BN72" i="1"/>
  <c r="BN82" i="1"/>
  <c r="BN31" i="1" l="1"/>
  <c r="BN27" i="1"/>
  <c r="BN26" i="1"/>
  <c r="BN35" i="1"/>
  <c r="BL158" i="1" l="1"/>
  <c r="BL152" i="1"/>
  <c r="BL137" i="1"/>
  <c r="BL141" i="1"/>
  <c r="BL135" i="1"/>
  <c r="BL136" i="1"/>
  <c r="BL118" i="1"/>
  <c r="BL123" i="1"/>
  <c r="BL117" i="1"/>
  <c r="BL130" i="1"/>
  <c r="BL142" i="1"/>
  <c r="BL57" i="1"/>
  <c r="BL81" i="1"/>
  <c r="BL62" i="1"/>
  <c r="BL64" i="1"/>
  <c r="BL61" i="1"/>
  <c r="BL54" i="1"/>
  <c r="BL87" i="1"/>
  <c r="BL90" i="1"/>
  <c r="BL72" i="1"/>
  <c r="BL82" i="1"/>
  <c r="BL26" i="1"/>
  <c r="BL27" i="1"/>
  <c r="BL35" i="1"/>
  <c r="BJ135" i="1" l="1"/>
  <c r="BJ123" i="1"/>
  <c r="BJ141" i="1"/>
  <c r="BJ117" i="1"/>
  <c r="BJ27" i="1"/>
  <c r="BJ26" i="1" l="1"/>
  <c r="BJ137" i="1" l="1"/>
  <c r="BJ118" i="1"/>
  <c r="BJ57" i="1"/>
  <c r="BJ81" i="1"/>
  <c r="BJ62" i="1"/>
  <c r="BJ64" i="1"/>
  <c r="BJ61" i="1"/>
  <c r="BJ54" i="1"/>
  <c r="BJ82" i="1"/>
  <c r="BJ31" i="1"/>
  <c r="BJ35" i="1"/>
  <c r="BH158" i="1" l="1"/>
  <c r="BH137" i="1" l="1"/>
  <c r="BH141" i="1"/>
  <c r="BH118" i="1"/>
  <c r="BH123" i="1"/>
  <c r="BH117" i="1"/>
  <c r="BH57" i="1"/>
  <c r="BH81" i="1"/>
  <c r="BH82" i="1"/>
  <c r="BH62" i="1"/>
  <c r="BH64" i="1"/>
  <c r="BH61" i="1"/>
  <c r="BH59" i="1"/>
  <c r="BH54" i="1"/>
  <c r="BI113" i="1"/>
  <c r="CF113" i="1"/>
  <c r="CG113" i="1" s="1"/>
  <c r="F114" i="1"/>
  <c r="F115" i="1"/>
  <c r="F116" i="1"/>
  <c r="BH72" i="1"/>
  <c r="BH15" i="1"/>
  <c r="BH31" i="1"/>
  <c r="BH35" i="1"/>
  <c r="CF161" i="1" l="1"/>
  <c r="CF160" i="1"/>
  <c r="CF159" i="1"/>
  <c r="CF158" i="1"/>
  <c r="CF157" i="1"/>
  <c r="CF155" i="1"/>
  <c r="CF154" i="1"/>
  <c r="CF153" i="1"/>
  <c r="CF152" i="1"/>
  <c r="CF151" i="1"/>
  <c r="CF148" i="1"/>
  <c r="CF147" i="1"/>
  <c r="CF145" i="1"/>
  <c r="CF144" i="1"/>
  <c r="CF143" i="1"/>
  <c r="CF142" i="1"/>
  <c r="CF141" i="1"/>
  <c r="CF140" i="1"/>
  <c r="CF139" i="1"/>
  <c r="CF137" i="1"/>
  <c r="CF136" i="1"/>
  <c r="CF135" i="1"/>
  <c r="CF132" i="1"/>
  <c r="CF131" i="1"/>
  <c r="CF130" i="1"/>
  <c r="CF129" i="1"/>
  <c r="CF128" i="1"/>
  <c r="CF127" i="1"/>
  <c r="CF126" i="1"/>
  <c r="CF125" i="1"/>
  <c r="CF124" i="1"/>
  <c r="CF123" i="1"/>
  <c r="CF122" i="1"/>
  <c r="CF121" i="1"/>
  <c r="CF120" i="1"/>
  <c r="CF119" i="1"/>
  <c r="CF118" i="1"/>
  <c r="CF117" i="1"/>
  <c r="CF116" i="1"/>
  <c r="CF112" i="1"/>
  <c r="CF111" i="1"/>
  <c r="CF110" i="1"/>
  <c r="CF109" i="1"/>
  <c r="CF107" i="1"/>
  <c r="CF106" i="1"/>
  <c r="CF105" i="1"/>
  <c r="CF104" i="1"/>
  <c r="CF103" i="1"/>
  <c r="CF102" i="1"/>
  <c r="CF101" i="1"/>
  <c r="CF100" i="1"/>
  <c r="CF99" i="1"/>
  <c r="CF98" i="1"/>
  <c r="CF97" i="1"/>
  <c r="CF96" i="1"/>
  <c r="CF95" i="1"/>
  <c r="CF94" i="1"/>
  <c r="CF91" i="1"/>
  <c r="CF90" i="1"/>
  <c r="CF89" i="1"/>
  <c r="CF88" i="1"/>
  <c r="CF87" i="1"/>
  <c r="CF86" i="1"/>
  <c r="CF85" i="1"/>
  <c r="CF84" i="1"/>
  <c r="CF82" i="1"/>
  <c r="CF81" i="1"/>
  <c r="CF80" i="1"/>
  <c r="CF79" i="1"/>
  <c r="CF78" i="1"/>
  <c r="CF77" i="1"/>
  <c r="CF75" i="1"/>
  <c r="CF74" i="1"/>
  <c r="CF73" i="1"/>
  <c r="CF72" i="1"/>
  <c r="CF71" i="1"/>
  <c r="CF70" i="1"/>
  <c r="CF69" i="1"/>
  <c r="CF67" i="1"/>
  <c r="CF65" i="1"/>
  <c r="CF64" i="1"/>
  <c r="CF63" i="1"/>
  <c r="CF62" i="1"/>
  <c r="CF61" i="1"/>
  <c r="CF60" i="1"/>
  <c r="CF59" i="1"/>
  <c r="CF58" i="1"/>
  <c r="CF57" i="1"/>
  <c r="CF56" i="1"/>
  <c r="CF55" i="1"/>
  <c r="CF54" i="1"/>
  <c r="CF48" i="1"/>
  <c r="CF47" i="1"/>
  <c r="CF46" i="1"/>
  <c r="CF45" i="1"/>
  <c r="CF43" i="1"/>
  <c r="CF42" i="1"/>
  <c r="CF41" i="1"/>
  <c r="CF40" i="1"/>
  <c r="CF39" i="1"/>
  <c r="CF38" i="1"/>
  <c r="CF36" i="1"/>
  <c r="CF35" i="1"/>
  <c r="CF34" i="1"/>
  <c r="CF33" i="1"/>
  <c r="CF31" i="1"/>
  <c r="CF29" i="1"/>
  <c r="CF28" i="1"/>
  <c r="CF27" i="1"/>
  <c r="CF26" i="1"/>
  <c r="CF24" i="1"/>
  <c r="CF23" i="1"/>
  <c r="CF22" i="1"/>
  <c r="CF21" i="1"/>
  <c r="CF20" i="1"/>
  <c r="CF19" i="1"/>
  <c r="CF18" i="1"/>
  <c r="CF17" i="1"/>
  <c r="CF14" i="1"/>
  <c r="CF13" i="1"/>
  <c r="CF12" i="1"/>
  <c r="CF156" i="1" l="1"/>
  <c r="CF150" i="1"/>
  <c r="CF134" i="1"/>
  <c r="CF115" i="1"/>
  <c r="CF108" i="1"/>
  <c r="CF93" i="1"/>
  <c r="CF83" i="1"/>
  <c r="CF76" i="1"/>
  <c r="CF68" i="1"/>
  <c r="CF66" i="1"/>
  <c r="CF53" i="1"/>
  <c r="CF44" i="1"/>
  <c r="CF37" i="1"/>
  <c r="CF32" i="1"/>
  <c r="CF30" i="1"/>
  <c r="CF25" i="1"/>
  <c r="CF16" i="1"/>
  <c r="CD156" i="1"/>
  <c r="CD150" i="1"/>
  <c r="CE137" i="1"/>
  <c r="CD134" i="1"/>
  <c r="CD133" i="1" s="1"/>
  <c r="CD115" i="1"/>
  <c r="CD114" i="1" s="1"/>
  <c r="CD108" i="1"/>
  <c r="CD93" i="1"/>
  <c r="CD83" i="1"/>
  <c r="CD76" i="1"/>
  <c r="CD68" i="1"/>
  <c r="CD66" i="1"/>
  <c r="CD53" i="1"/>
  <c r="CD44" i="1"/>
  <c r="CD37" i="1"/>
  <c r="CD30" i="1"/>
  <c r="CD25" i="1"/>
  <c r="CD16" i="1"/>
  <c r="CD15" i="1"/>
  <c r="CB156" i="1"/>
  <c r="CB150" i="1"/>
  <c r="CB134" i="1"/>
  <c r="CB133" i="1" s="1"/>
  <c r="CB115" i="1"/>
  <c r="CB114" i="1" s="1"/>
  <c r="CB108" i="1"/>
  <c r="CB93" i="1"/>
  <c r="CB83" i="1"/>
  <c r="CB76" i="1"/>
  <c r="CB68" i="1"/>
  <c r="CB66" i="1"/>
  <c r="CB53" i="1"/>
  <c r="CB44" i="1"/>
  <c r="CB37" i="1"/>
  <c r="CB32" i="1"/>
  <c r="CB30" i="1"/>
  <c r="CB25" i="1"/>
  <c r="CB16" i="1"/>
  <c r="CB15" i="1"/>
  <c r="CB11" i="1" s="1"/>
  <c r="CA71" i="1"/>
  <c r="BX156" i="1"/>
  <c r="BX150" i="1"/>
  <c r="BX134" i="1"/>
  <c r="BX133" i="1" s="1"/>
  <c r="BX115" i="1"/>
  <c r="BX114" i="1" s="1"/>
  <c r="BX108" i="1"/>
  <c r="BX93" i="1"/>
  <c r="BX83" i="1"/>
  <c r="BX76" i="1"/>
  <c r="BX68" i="1"/>
  <c r="BX66" i="1"/>
  <c r="BX53" i="1"/>
  <c r="BX44" i="1"/>
  <c r="BX37" i="1"/>
  <c r="BX32" i="1"/>
  <c r="BX30" i="1"/>
  <c r="BX25" i="1"/>
  <c r="BX16" i="1"/>
  <c r="BX15" i="1"/>
  <c r="BV156" i="1"/>
  <c r="BV150" i="1"/>
  <c r="BW137" i="1"/>
  <c r="BV134" i="1"/>
  <c r="BV133" i="1" s="1"/>
  <c r="BV115" i="1"/>
  <c r="BV114" i="1" s="1"/>
  <c r="BW110" i="1"/>
  <c r="BV108" i="1"/>
  <c r="BV93" i="1"/>
  <c r="BV92" i="1" s="1"/>
  <c r="BW87" i="1"/>
  <c r="BV83" i="1"/>
  <c r="BV76" i="1"/>
  <c r="BV68" i="1"/>
  <c r="BV66" i="1"/>
  <c r="BV53" i="1"/>
  <c r="BV44" i="1"/>
  <c r="BV37" i="1"/>
  <c r="BV32" i="1"/>
  <c r="BV30" i="1"/>
  <c r="BV25" i="1"/>
  <c r="BV16" i="1"/>
  <c r="BV15" i="1"/>
  <c r="BV11" i="1" s="1"/>
  <c r="BT156" i="1"/>
  <c r="BU151" i="1"/>
  <c r="BT150" i="1"/>
  <c r="BT134" i="1"/>
  <c r="BT133" i="1" s="1"/>
  <c r="BU125" i="1"/>
  <c r="BT115" i="1"/>
  <c r="BT114" i="1" s="1"/>
  <c r="BT108" i="1"/>
  <c r="BT93" i="1"/>
  <c r="BU91" i="1"/>
  <c r="BT83" i="1"/>
  <c r="BU80" i="1"/>
  <c r="BT76" i="1"/>
  <c r="BT68" i="1"/>
  <c r="BT66" i="1"/>
  <c r="BT53" i="1"/>
  <c r="BT44" i="1"/>
  <c r="BT37" i="1"/>
  <c r="BT32" i="1"/>
  <c r="BT30" i="1"/>
  <c r="BT25" i="1"/>
  <c r="BT16" i="1"/>
  <c r="BT15" i="1"/>
  <c r="BT11" i="1" s="1"/>
  <c r="BR156" i="1"/>
  <c r="BR150" i="1"/>
  <c r="BS145" i="1"/>
  <c r="BR134" i="1"/>
  <c r="BR133" i="1" s="1"/>
  <c r="BS131" i="1"/>
  <c r="BR115" i="1"/>
  <c r="BR114" i="1" s="1"/>
  <c r="BR108" i="1"/>
  <c r="BR93" i="1"/>
  <c r="BS84" i="1"/>
  <c r="BR83" i="1"/>
  <c r="BR76" i="1"/>
  <c r="BS72" i="1"/>
  <c r="BR68" i="1"/>
  <c r="BR66" i="1"/>
  <c r="BR53" i="1"/>
  <c r="BR44" i="1"/>
  <c r="BR37" i="1"/>
  <c r="BR32" i="1"/>
  <c r="BR30" i="1"/>
  <c r="BR25" i="1"/>
  <c r="BR16" i="1"/>
  <c r="BR15" i="1"/>
  <c r="BP156" i="1"/>
  <c r="BP150" i="1"/>
  <c r="BP134" i="1"/>
  <c r="BP133" i="1" s="1"/>
  <c r="BQ119" i="1"/>
  <c r="BP115" i="1"/>
  <c r="BP108" i="1"/>
  <c r="BP93" i="1"/>
  <c r="BQ88" i="1"/>
  <c r="BP83" i="1"/>
  <c r="BP76" i="1"/>
  <c r="BP68" i="1"/>
  <c r="BP66" i="1"/>
  <c r="BP53" i="1"/>
  <c r="BP44" i="1"/>
  <c r="BP37" i="1"/>
  <c r="BP32" i="1"/>
  <c r="BP30" i="1"/>
  <c r="BP25" i="1"/>
  <c r="BP16" i="1"/>
  <c r="BP15" i="1"/>
  <c r="BP11" i="1"/>
  <c r="BN156" i="1"/>
  <c r="BO153" i="1"/>
  <c r="BN150" i="1"/>
  <c r="BO145" i="1"/>
  <c r="BO141" i="1"/>
  <c r="BO136" i="1"/>
  <c r="BN134" i="1"/>
  <c r="BN133" i="1" s="1"/>
  <c r="BO131" i="1"/>
  <c r="BO127" i="1"/>
  <c r="BO123" i="1"/>
  <c r="BO119" i="1"/>
  <c r="BN115" i="1"/>
  <c r="BN114" i="1" s="1"/>
  <c r="BN108" i="1"/>
  <c r="BN93" i="1"/>
  <c r="BO88" i="1"/>
  <c r="BO84" i="1"/>
  <c r="BN83" i="1"/>
  <c r="BO80" i="1"/>
  <c r="BN76" i="1"/>
  <c r="BO72" i="1"/>
  <c r="BN68" i="1"/>
  <c r="BN66" i="1"/>
  <c r="BO60" i="1"/>
  <c r="BN53" i="1"/>
  <c r="BN44" i="1"/>
  <c r="BN37" i="1"/>
  <c r="BO36" i="1"/>
  <c r="BN32" i="1"/>
  <c r="BN30" i="1"/>
  <c r="BN25" i="1"/>
  <c r="BN16" i="1"/>
  <c r="BL156" i="1"/>
  <c r="BL150" i="1"/>
  <c r="BM137" i="1"/>
  <c r="BL134" i="1"/>
  <c r="BL133" i="1" s="1"/>
  <c r="BM132" i="1"/>
  <c r="BM128" i="1"/>
  <c r="BM124" i="1"/>
  <c r="BM120" i="1"/>
  <c r="BM116" i="1"/>
  <c r="BL115" i="1"/>
  <c r="BL114" i="1" s="1"/>
  <c r="BM110" i="1"/>
  <c r="BL108" i="1"/>
  <c r="BL93" i="1"/>
  <c r="BM90" i="1"/>
  <c r="BM86" i="1"/>
  <c r="BL83" i="1"/>
  <c r="BM82" i="1"/>
  <c r="BM78" i="1"/>
  <c r="BL76" i="1"/>
  <c r="BM74" i="1"/>
  <c r="BL68" i="1"/>
  <c r="BL66" i="1"/>
  <c r="BM59" i="1"/>
  <c r="BL53" i="1"/>
  <c r="BL44" i="1"/>
  <c r="BL37" i="1"/>
  <c r="BL32" i="1"/>
  <c r="BL30" i="1"/>
  <c r="BL25" i="1"/>
  <c r="BL16" i="1"/>
  <c r="BL15" i="1"/>
  <c r="BL11" i="1" s="1"/>
  <c r="BJ156" i="1"/>
  <c r="BK155" i="1"/>
  <c r="BK151" i="1"/>
  <c r="BJ150" i="1"/>
  <c r="BK137" i="1"/>
  <c r="BJ134" i="1"/>
  <c r="BJ133" i="1" s="1"/>
  <c r="BK132" i="1"/>
  <c r="BK128" i="1"/>
  <c r="BK124" i="1"/>
  <c r="BK120" i="1"/>
  <c r="BK116" i="1"/>
  <c r="BJ115" i="1"/>
  <c r="BJ108" i="1"/>
  <c r="BJ93" i="1"/>
  <c r="BK91" i="1"/>
  <c r="BK87" i="1"/>
  <c r="BJ83" i="1"/>
  <c r="BK79" i="1"/>
  <c r="BJ76" i="1"/>
  <c r="BK72" i="1"/>
  <c r="BJ68" i="1"/>
  <c r="BJ66" i="1"/>
  <c r="BK63" i="1"/>
  <c r="BJ53" i="1"/>
  <c r="BJ44" i="1"/>
  <c r="BJ37" i="1"/>
  <c r="BJ32" i="1"/>
  <c r="BJ30" i="1"/>
  <c r="BJ25" i="1"/>
  <c r="BJ16" i="1"/>
  <c r="BJ15" i="1"/>
  <c r="BJ11" i="1" s="1"/>
  <c r="BH53" i="1"/>
  <c r="BH44" i="1"/>
  <c r="BH37" i="1"/>
  <c r="BH32" i="1"/>
  <c r="BH25" i="1"/>
  <c r="BH16" i="1"/>
  <c r="BI147" i="1"/>
  <c r="BI145" i="1"/>
  <c r="BI143" i="1"/>
  <c r="BI141" i="1"/>
  <c r="BI139" i="1"/>
  <c r="BI132" i="1"/>
  <c r="BI128" i="1"/>
  <c r="BI124" i="1"/>
  <c r="BI120" i="1"/>
  <c r="BI116" i="1"/>
  <c r="BI99" i="1"/>
  <c r="BI82" i="1"/>
  <c r="BI80" i="1"/>
  <c r="BI78" i="1"/>
  <c r="BI75" i="1"/>
  <c r="BG161" i="1"/>
  <c r="BY161" i="1" s="1"/>
  <c r="BG159" i="1"/>
  <c r="BG155" i="1"/>
  <c r="BG154" i="1"/>
  <c r="BG153" i="1"/>
  <c r="BK153" i="1" s="1"/>
  <c r="BG152" i="1"/>
  <c r="BK152" i="1" s="1"/>
  <c r="BG151" i="1"/>
  <c r="BG150" i="1"/>
  <c r="BG149" i="1"/>
  <c r="BG148" i="1"/>
  <c r="BG147" i="1"/>
  <c r="BG146" i="1"/>
  <c r="BG145" i="1"/>
  <c r="BG144" i="1"/>
  <c r="BM144" i="1" s="1"/>
  <c r="BG143" i="1"/>
  <c r="BG142" i="1"/>
  <c r="BM142" i="1" s="1"/>
  <c r="BG141" i="1"/>
  <c r="BQ141" i="1" s="1"/>
  <c r="BG139" i="1"/>
  <c r="BG138" i="1"/>
  <c r="BG137" i="1"/>
  <c r="BO137" i="1" s="1"/>
  <c r="BG136" i="1"/>
  <c r="BQ136" i="1" s="1"/>
  <c r="BG135" i="1"/>
  <c r="BG132" i="1"/>
  <c r="BO132" i="1" s="1"/>
  <c r="BG131" i="1"/>
  <c r="BG130" i="1"/>
  <c r="BG129" i="1"/>
  <c r="BO129" i="1" s="1"/>
  <c r="BG128" i="1"/>
  <c r="BO128" i="1" s="1"/>
  <c r="BG127" i="1"/>
  <c r="BG126" i="1"/>
  <c r="BM126" i="1" s="1"/>
  <c r="BG125" i="1"/>
  <c r="BO125" i="1" s="1"/>
  <c r="BG124" i="1"/>
  <c r="BO124" i="1" s="1"/>
  <c r="BG123" i="1"/>
  <c r="BG122" i="1"/>
  <c r="BG121" i="1"/>
  <c r="BO121" i="1" s="1"/>
  <c r="BG120" i="1"/>
  <c r="BO120" i="1" s="1"/>
  <c r="BG119" i="1"/>
  <c r="BG118" i="1"/>
  <c r="BM118" i="1" s="1"/>
  <c r="BG117" i="1"/>
  <c r="BO117" i="1" s="1"/>
  <c r="BG116" i="1"/>
  <c r="CC116" i="1" s="1"/>
  <c r="BG110" i="1"/>
  <c r="BG99" i="1"/>
  <c r="BM99" i="1" s="1"/>
  <c r="BG91" i="1"/>
  <c r="BI91" i="1" s="1"/>
  <c r="BG90" i="1"/>
  <c r="BG89" i="1"/>
  <c r="BO89" i="1" s="1"/>
  <c r="BG88" i="1"/>
  <c r="BM88" i="1" s="1"/>
  <c r="BG87" i="1"/>
  <c r="BM87" i="1" s="1"/>
  <c r="BG86" i="1"/>
  <c r="BG85" i="1"/>
  <c r="BK85" i="1" s="1"/>
  <c r="BG84" i="1"/>
  <c r="BM84" i="1" s="1"/>
  <c r="BG82" i="1"/>
  <c r="BG81" i="1"/>
  <c r="BG80" i="1"/>
  <c r="BS80" i="1" s="1"/>
  <c r="BG79" i="1"/>
  <c r="BM79" i="1" s="1"/>
  <c r="BG78" i="1"/>
  <c r="BG77" i="1"/>
  <c r="BK77" i="1" s="1"/>
  <c r="BG75" i="1"/>
  <c r="BW75" i="1" s="1"/>
  <c r="BG74" i="1"/>
  <c r="BG73" i="1"/>
  <c r="BG72" i="1"/>
  <c r="BU72" i="1" s="1"/>
  <c r="BG71" i="1"/>
  <c r="BW71" i="1" s="1"/>
  <c r="BG70" i="1"/>
  <c r="BG69" i="1"/>
  <c r="BM69" i="1" s="1"/>
  <c r="BG67" i="1"/>
  <c r="BG65" i="1"/>
  <c r="BG64" i="1"/>
  <c r="BM64" i="1" s="1"/>
  <c r="BG63" i="1"/>
  <c r="BM63" i="1" s="1"/>
  <c r="BG62" i="1"/>
  <c r="BG61" i="1"/>
  <c r="BG60" i="1"/>
  <c r="BS60" i="1" s="1"/>
  <c r="BG59" i="1"/>
  <c r="BG58" i="1"/>
  <c r="BG57" i="1"/>
  <c r="BW57" i="1" s="1"/>
  <c r="BG56" i="1"/>
  <c r="BK56" i="1" s="1"/>
  <c r="BG55" i="1"/>
  <c r="BU55" i="1" s="1"/>
  <c r="BG54" i="1"/>
  <c r="BG48" i="1"/>
  <c r="BG47" i="1"/>
  <c r="BO47" i="1" s="1"/>
  <c r="BG46" i="1"/>
  <c r="CC46" i="1" s="1"/>
  <c r="BG45" i="1"/>
  <c r="BG43" i="1"/>
  <c r="BG42" i="1"/>
  <c r="BS42" i="1" s="1"/>
  <c r="BG41" i="1"/>
  <c r="BG40" i="1"/>
  <c r="BG39" i="1"/>
  <c r="BQ39" i="1" s="1"/>
  <c r="BG38" i="1"/>
  <c r="BY38" i="1" s="1"/>
  <c r="BG36" i="1"/>
  <c r="BG35" i="1"/>
  <c r="BG31" i="1"/>
  <c r="BG23" i="1"/>
  <c r="BS23" i="1" s="1"/>
  <c r="BG22" i="1"/>
  <c r="BU22" i="1" s="1"/>
  <c r="BG20" i="1"/>
  <c r="BH156" i="1"/>
  <c r="BH150" i="1"/>
  <c r="BH149" i="1" s="1"/>
  <c r="BI149" i="1" s="1"/>
  <c r="BH134" i="1"/>
  <c r="BH108" i="1"/>
  <c r="BH93" i="1"/>
  <c r="BH83" i="1"/>
  <c r="BH76" i="1"/>
  <c r="BH68" i="1"/>
  <c r="BH66" i="1"/>
  <c r="BH30" i="1"/>
  <c r="CD52" i="1" l="1"/>
  <c r="CB52" i="1"/>
  <c r="CB10" i="1"/>
  <c r="CB8" i="1" s="1"/>
  <c r="BW31" i="1"/>
  <c r="BS31" i="1"/>
  <c r="CE43" i="1"/>
  <c r="BY43" i="1"/>
  <c r="CA43" i="1"/>
  <c r="BS43" i="1"/>
  <c r="BQ43" i="1"/>
  <c r="CC61" i="1"/>
  <c r="CA61" i="1"/>
  <c r="BQ61" i="1"/>
  <c r="CE73" i="1"/>
  <c r="CG73" i="1"/>
  <c r="CA73" i="1"/>
  <c r="BY73" i="1"/>
  <c r="BW73" i="1"/>
  <c r="CC73" i="1"/>
  <c r="BU73" i="1"/>
  <c r="BS73" i="1"/>
  <c r="BQ73" i="1"/>
  <c r="CA81" i="1"/>
  <c r="CE81" i="1"/>
  <c r="CC81" i="1"/>
  <c r="CG81" i="1"/>
  <c r="BY81" i="1"/>
  <c r="BW81" i="1"/>
  <c r="BU81" i="1"/>
  <c r="BS81" i="1"/>
  <c r="BQ81" i="1"/>
  <c r="CG122" i="1"/>
  <c r="CE122" i="1"/>
  <c r="CC122" i="1"/>
  <c r="BW122" i="1"/>
  <c r="CA122" i="1"/>
  <c r="BU122" i="1"/>
  <c r="BS122" i="1"/>
  <c r="BQ122" i="1"/>
  <c r="CG146" i="1"/>
  <c r="CA146" i="1"/>
  <c r="CE146" i="1"/>
  <c r="BY146" i="1"/>
  <c r="CC146" i="1"/>
  <c r="BW146" i="1"/>
  <c r="BO146" i="1"/>
  <c r="BU146" i="1"/>
  <c r="BS146" i="1"/>
  <c r="BQ146" i="1"/>
  <c r="CG154" i="1"/>
  <c r="CA154" i="1"/>
  <c r="BW154" i="1"/>
  <c r="CC154" i="1"/>
  <c r="BU154" i="1"/>
  <c r="BY154" i="1"/>
  <c r="CE154" i="1"/>
  <c r="BI31" i="1"/>
  <c r="BI69" i="1"/>
  <c r="BI89" i="1"/>
  <c r="BM47" i="1"/>
  <c r="BM150" i="1"/>
  <c r="BY122" i="1"/>
  <c r="CC35" i="1"/>
  <c r="BS35" i="1"/>
  <c r="BQ35" i="1"/>
  <c r="BO40" i="1"/>
  <c r="BU40" i="1"/>
  <c r="BU48" i="1"/>
  <c r="BS48" i="1"/>
  <c r="CA74" i="1"/>
  <c r="CG74" i="1"/>
  <c r="CC74" i="1"/>
  <c r="BY74" i="1"/>
  <c r="BW74" i="1"/>
  <c r="CE74" i="1"/>
  <c r="BU74" i="1"/>
  <c r="BS74" i="1"/>
  <c r="BQ74" i="1"/>
  <c r="CG78" i="1"/>
  <c r="CA78" i="1"/>
  <c r="CE78" i="1"/>
  <c r="CC78" i="1"/>
  <c r="BY78" i="1"/>
  <c r="BW78" i="1"/>
  <c r="BU78" i="1"/>
  <c r="BS78" i="1"/>
  <c r="BQ78" i="1"/>
  <c r="CA82" i="1"/>
  <c r="CG82" i="1"/>
  <c r="CE82" i="1"/>
  <c r="CC82" i="1"/>
  <c r="BY82" i="1"/>
  <c r="BW82" i="1"/>
  <c r="BU82" i="1"/>
  <c r="BS82" i="1"/>
  <c r="BQ82" i="1"/>
  <c r="CG86" i="1"/>
  <c r="CA86" i="1"/>
  <c r="CE86" i="1"/>
  <c r="CC86" i="1"/>
  <c r="BY86" i="1"/>
  <c r="BW86" i="1"/>
  <c r="BU86" i="1"/>
  <c r="BS86" i="1"/>
  <c r="BQ86" i="1"/>
  <c r="CA90" i="1"/>
  <c r="CG90" i="1"/>
  <c r="CE90" i="1"/>
  <c r="CC90" i="1"/>
  <c r="BY90" i="1"/>
  <c r="BW90" i="1"/>
  <c r="BU90" i="1"/>
  <c r="BS90" i="1"/>
  <c r="BQ90" i="1"/>
  <c r="CE110" i="1"/>
  <c r="CG110" i="1"/>
  <c r="CC110" i="1"/>
  <c r="CA110" i="1"/>
  <c r="BY110" i="1"/>
  <c r="BS110" i="1"/>
  <c r="BQ110" i="1"/>
  <c r="CG119" i="1"/>
  <c r="CE119" i="1"/>
  <c r="CC119" i="1"/>
  <c r="BW119" i="1"/>
  <c r="BU119" i="1"/>
  <c r="BY119" i="1"/>
  <c r="CA119" i="1"/>
  <c r="CE123" i="1"/>
  <c r="CC123" i="1"/>
  <c r="CG123" i="1"/>
  <c r="BW123" i="1"/>
  <c r="CA123" i="1"/>
  <c r="BU123" i="1"/>
  <c r="BY123" i="1"/>
  <c r="CE127" i="1"/>
  <c r="CC127" i="1"/>
  <c r="CG127" i="1"/>
  <c r="BW127" i="1"/>
  <c r="BU127" i="1"/>
  <c r="BY127" i="1"/>
  <c r="CA127" i="1"/>
  <c r="CG131" i="1"/>
  <c r="CE131" i="1"/>
  <c r="CC131" i="1"/>
  <c r="BW131" i="1"/>
  <c r="CA131" i="1"/>
  <c r="BU131" i="1"/>
  <c r="BY131" i="1"/>
  <c r="CE135" i="1"/>
  <c r="CC135" i="1"/>
  <c r="CG135" i="1"/>
  <c r="BW135" i="1"/>
  <c r="BU135" i="1"/>
  <c r="BS135" i="1"/>
  <c r="BQ135" i="1"/>
  <c r="CA139" i="1"/>
  <c r="CG139" i="1"/>
  <c r="CE139" i="1"/>
  <c r="CC139" i="1"/>
  <c r="BY139" i="1"/>
  <c r="BW139" i="1"/>
  <c r="BU139" i="1"/>
  <c r="BS139" i="1"/>
  <c r="BQ139" i="1"/>
  <c r="CG143" i="1"/>
  <c r="CA143" i="1"/>
  <c r="CE143" i="1"/>
  <c r="CC143" i="1"/>
  <c r="BY143" i="1"/>
  <c r="BW143" i="1"/>
  <c r="BS143" i="1"/>
  <c r="BQ143" i="1"/>
  <c r="CG147" i="1"/>
  <c r="CA147" i="1"/>
  <c r="CE147" i="1"/>
  <c r="CC147" i="1"/>
  <c r="BY147" i="1"/>
  <c r="BW147" i="1"/>
  <c r="BU147" i="1"/>
  <c r="BS147" i="1"/>
  <c r="BQ147" i="1"/>
  <c r="CG151" i="1"/>
  <c r="CA151" i="1"/>
  <c r="CE151" i="1"/>
  <c r="CC151" i="1"/>
  <c r="BY151" i="1"/>
  <c r="BO151" i="1"/>
  <c r="BS151" i="1"/>
  <c r="BQ151" i="1"/>
  <c r="CG155" i="1"/>
  <c r="CA155" i="1"/>
  <c r="CE155" i="1"/>
  <c r="CC155" i="1"/>
  <c r="BY155" i="1"/>
  <c r="BU155" i="1"/>
  <c r="BO155" i="1"/>
  <c r="BW155" i="1"/>
  <c r="BS155" i="1"/>
  <c r="BQ155" i="1"/>
  <c r="CA159" i="1"/>
  <c r="CE159" i="1"/>
  <c r="CC159" i="1"/>
  <c r="BY159" i="1"/>
  <c r="BW159" i="1"/>
  <c r="BO159" i="1"/>
  <c r="BS159" i="1"/>
  <c r="BQ159" i="1"/>
  <c r="BI23" i="1"/>
  <c r="BI38" i="1"/>
  <c r="BI60" i="1"/>
  <c r="BI72" i="1"/>
  <c r="BI77" i="1"/>
  <c r="BI81" i="1"/>
  <c r="BI86" i="1"/>
  <c r="BI90" i="1"/>
  <c r="BI117" i="1"/>
  <c r="BI121" i="1"/>
  <c r="BI125" i="1"/>
  <c r="BI129" i="1"/>
  <c r="BI135" i="1"/>
  <c r="BI144" i="1"/>
  <c r="BI151" i="1"/>
  <c r="BI155" i="1"/>
  <c r="BI161" i="1"/>
  <c r="BK42" i="1"/>
  <c r="BK64" i="1"/>
  <c r="BK73" i="1"/>
  <c r="BK80" i="1"/>
  <c r="BK84" i="1"/>
  <c r="BK88" i="1"/>
  <c r="BK117" i="1"/>
  <c r="BK121" i="1"/>
  <c r="BK125" i="1"/>
  <c r="BK129" i="1"/>
  <c r="BK139" i="1"/>
  <c r="BK143" i="1"/>
  <c r="BK147" i="1"/>
  <c r="BK161" i="1"/>
  <c r="BM22" i="1"/>
  <c r="BM39" i="1"/>
  <c r="BM48" i="1"/>
  <c r="BM60" i="1"/>
  <c r="BM75" i="1"/>
  <c r="BM91" i="1"/>
  <c r="BM117" i="1"/>
  <c r="BM121" i="1"/>
  <c r="BM125" i="1"/>
  <c r="BM129" i="1"/>
  <c r="BM139" i="1"/>
  <c r="BM143" i="1"/>
  <c r="BM147" i="1"/>
  <c r="BM151" i="1"/>
  <c r="BM155" i="1"/>
  <c r="BM159" i="1"/>
  <c r="BO64" i="1"/>
  <c r="BO73" i="1"/>
  <c r="BO77" i="1"/>
  <c r="BO81" i="1"/>
  <c r="BO85" i="1"/>
  <c r="BO110" i="1"/>
  <c r="BO116" i="1"/>
  <c r="BO142" i="1"/>
  <c r="BO147" i="1"/>
  <c r="BO154" i="1"/>
  <c r="BO161" i="1"/>
  <c r="BQ80" i="1"/>
  <c r="BQ123" i="1"/>
  <c r="BQ154" i="1"/>
  <c r="BS88" i="1"/>
  <c r="BS119" i="1"/>
  <c r="BS150" i="1"/>
  <c r="BU110" i="1"/>
  <c r="CC47" i="1"/>
  <c r="CG47" i="1"/>
  <c r="BQ47" i="1"/>
  <c r="BQ69" i="1"/>
  <c r="CE69" i="1"/>
  <c r="CA89" i="1"/>
  <c r="CE89" i="1"/>
  <c r="CG89" i="1"/>
  <c r="CC89" i="1"/>
  <c r="BY89" i="1"/>
  <c r="BW89" i="1"/>
  <c r="BU89" i="1"/>
  <c r="BS89" i="1"/>
  <c r="BQ89" i="1"/>
  <c r="CE130" i="1"/>
  <c r="CC130" i="1"/>
  <c r="CG130" i="1"/>
  <c r="BW130" i="1"/>
  <c r="CA130" i="1"/>
  <c r="BU130" i="1"/>
  <c r="BS130" i="1"/>
  <c r="BQ130" i="1"/>
  <c r="BY130" i="1"/>
  <c r="BK31" i="1"/>
  <c r="BK142" i="1"/>
  <c r="CC75" i="1"/>
  <c r="CG75" i="1"/>
  <c r="CE75" i="1"/>
  <c r="CA75" i="1"/>
  <c r="BU75" i="1"/>
  <c r="BS75" i="1"/>
  <c r="BQ75" i="1"/>
  <c r="BY75" i="1"/>
  <c r="CE87" i="1"/>
  <c r="CC87" i="1"/>
  <c r="CG87" i="1"/>
  <c r="CA87" i="1"/>
  <c r="BS87" i="1"/>
  <c r="BQ87" i="1"/>
  <c r="BY87" i="1"/>
  <c r="CE99" i="1"/>
  <c r="CA99" i="1"/>
  <c r="CG99" i="1"/>
  <c r="CC99" i="1"/>
  <c r="BY99" i="1"/>
  <c r="BU99" i="1"/>
  <c r="BS99" i="1"/>
  <c r="BQ99" i="1"/>
  <c r="CG124" i="1"/>
  <c r="CA124" i="1"/>
  <c r="CC124" i="1"/>
  <c r="BY124" i="1"/>
  <c r="BU124" i="1"/>
  <c r="CE124" i="1"/>
  <c r="BS124" i="1"/>
  <c r="BQ124" i="1"/>
  <c r="CG132" i="1"/>
  <c r="CA132" i="1"/>
  <c r="CE132" i="1"/>
  <c r="BY132" i="1"/>
  <c r="BU132" i="1"/>
  <c r="BW132" i="1"/>
  <c r="CC132" i="1"/>
  <c r="BS132" i="1"/>
  <c r="BQ132" i="1"/>
  <c r="CG136" i="1"/>
  <c r="CE136" i="1"/>
  <c r="CC136" i="1"/>
  <c r="BW136" i="1"/>
  <c r="BU136" i="1"/>
  <c r="CA136" i="1"/>
  <c r="BY136" i="1"/>
  <c r="CE148" i="1"/>
  <c r="CC148" i="1"/>
  <c r="CA148" i="1"/>
  <c r="BW148" i="1"/>
  <c r="BU148" i="1"/>
  <c r="BY148" i="1"/>
  <c r="BS148" i="1"/>
  <c r="BQ148" i="1"/>
  <c r="CA152" i="1"/>
  <c r="CE152" i="1"/>
  <c r="CC152" i="1"/>
  <c r="CG152" i="1"/>
  <c r="BY152" i="1"/>
  <c r="BW152" i="1"/>
  <c r="BO152" i="1"/>
  <c r="BS152" i="1"/>
  <c r="BQ152" i="1"/>
  <c r="BU152" i="1"/>
  <c r="BI47" i="1"/>
  <c r="BI63" i="1"/>
  <c r="BI73" i="1"/>
  <c r="BI87" i="1"/>
  <c r="BI118" i="1"/>
  <c r="BI122" i="1"/>
  <c r="BI126" i="1"/>
  <c r="BI130" i="1"/>
  <c r="BI136" i="1"/>
  <c r="BI152" i="1"/>
  <c r="BK35" i="1"/>
  <c r="BK43" i="1"/>
  <c r="BK74" i="1"/>
  <c r="BK81" i="1"/>
  <c r="BK89" i="1"/>
  <c r="BK99" i="1"/>
  <c r="BK118" i="1"/>
  <c r="BK122" i="1"/>
  <c r="BK126" i="1"/>
  <c r="BK130" i="1"/>
  <c r="BK135" i="1"/>
  <c r="BK144" i="1"/>
  <c r="BK148" i="1"/>
  <c r="BM23" i="1"/>
  <c r="BM43" i="1"/>
  <c r="BM72" i="1"/>
  <c r="BM80" i="1"/>
  <c r="BM122" i="1"/>
  <c r="BM130" i="1"/>
  <c r="BM135" i="1"/>
  <c r="BM148" i="1"/>
  <c r="BM152" i="1"/>
  <c r="BO23" i="1"/>
  <c r="BO31" i="1"/>
  <c r="BO39" i="1"/>
  <c r="BO74" i="1"/>
  <c r="BO78" i="1"/>
  <c r="BO82" i="1"/>
  <c r="BO86" i="1"/>
  <c r="BO90" i="1"/>
  <c r="BO99" i="1"/>
  <c r="BO139" i="1"/>
  <c r="BO143" i="1"/>
  <c r="BO148" i="1"/>
  <c r="BQ127" i="1"/>
  <c r="BS123" i="1"/>
  <c r="BS136" i="1"/>
  <c r="BS154" i="1"/>
  <c r="BU31" i="1"/>
  <c r="BU143" i="1"/>
  <c r="BU159" i="1"/>
  <c r="BW99" i="1"/>
  <c r="BW124" i="1"/>
  <c r="BW151" i="1"/>
  <c r="BY135" i="1"/>
  <c r="BW23" i="1"/>
  <c r="BQ23" i="1"/>
  <c r="CE39" i="1"/>
  <c r="CC39" i="1"/>
  <c r="BS39" i="1"/>
  <c r="BI65" i="1"/>
  <c r="CE65" i="1"/>
  <c r="CA77" i="1"/>
  <c r="CG77" i="1"/>
  <c r="CE77" i="1"/>
  <c r="CC77" i="1"/>
  <c r="BY77" i="1"/>
  <c r="BW77" i="1"/>
  <c r="BU77" i="1"/>
  <c r="BS77" i="1"/>
  <c r="BQ77" i="1"/>
  <c r="CA85" i="1"/>
  <c r="CE85" i="1"/>
  <c r="CG85" i="1"/>
  <c r="BY85" i="1"/>
  <c r="BW85" i="1"/>
  <c r="CC85" i="1"/>
  <c r="BU85" i="1"/>
  <c r="BS85" i="1"/>
  <c r="BQ85" i="1"/>
  <c r="CG118" i="1"/>
  <c r="CE118" i="1"/>
  <c r="CC118" i="1"/>
  <c r="CA118" i="1"/>
  <c r="BW118" i="1"/>
  <c r="BU118" i="1"/>
  <c r="BY118" i="1"/>
  <c r="BS118" i="1"/>
  <c r="BQ118" i="1"/>
  <c r="CE126" i="1"/>
  <c r="CC126" i="1"/>
  <c r="CG126" i="1"/>
  <c r="CA126" i="1"/>
  <c r="BW126" i="1"/>
  <c r="BU126" i="1"/>
  <c r="BS126" i="1"/>
  <c r="BQ126" i="1"/>
  <c r="BY126" i="1"/>
  <c r="CA142" i="1"/>
  <c r="CC142" i="1"/>
  <c r="BY142" i="1"/>
  <c r="CG142" i="1"/>
  <c r="CE142" i="1"/>
  <c r="BU142" i="1"/>
  <c r="BW142" i="1"/>
  <c r="BS142" i="1"/>
  <c r="BQ142" i="1"/>
  <c r="BI57" i="1"/>
  <c r="BI85" i="1"/>
  <c r="BI154" i="1"/>
  <c r="BK39" i="1"/>
  <c r="BK47" i="1"/>
  <c r="BK146" i="1"/>
  <c r="BM146" i="1"/>
  <c r="BM154" i="1"/>
  <c r="BQ150" i="1"/>
  <c r="BK20" i="1"/>
  <c r="CC20" i="1"/>
  <c r="BW20" i="1"/>
  <c r="BS20" i="1"/>
  <c r="BM36" i="1"/>
  <c r="CA36" i="1"/>
  <c r="BQ36" i="1"/>
  <c r="CE79" i="1"/>
  <c r="CC79" i="1"/>
  <c r="CG79" i="1"/>
  <c r="CA79" i="1"/>
  <c r="BU79" i="1"/>
  <c r="BS79" i="1"/>
  <c r="BQ79" i="1"/>
  <c r="BW79" i="1"/>
  <c r="CG91" i="1"/>
  <c r="CE91" i="1"/>
  <c r="CC91" i="1"/>
  <c r="CA91" i="1"/>
  <c r="BY91" i="1"/>
  <c r="BS91" i="1"/>
  <c r="BQ91" i="1"/>
  <c r="BW91" i="1"/>
  <c r="CA116" i="1"/>
  <c r="CG116" i="1"/>
  <c r="CE116" i="1"/>
  <c r="BY116" i="1"/>
  <c r="BU116" i="1"/>
  <c r="BW116" i="1"/>
  <c r="BS116" i="1"/>
  <c r="BQ116" i="1"/>
  <c r="CA120" i="1"/>
  <c r="CE120" i="1"/>
  <c r="BY120" i="1"/>
  <c r="CC120" i="1"/>
  <c r="CG120" i="1"/>
  <c r="BW120" i="1"/>
  <c r="BU120" i="1"/>
  <c r="BS120" i="1"/>
  <c r="BQ120" i="1"/>
  <c r="CG128" i="1"/>
  <c r="CA128" i="1"/>
  <c r="CC128" i="1"/>
  <c r="BY128" i="1"/>
  <c r="CE128" i="1"/>
  <c r="BW128" i="1"/>
  <c r="BU128" i="1"/>
  <c r="BS128" i="1"/>
  <c r="BQ128" i="1"/>
  <c r="CG144" i="1"/>
  <c r="CE144" i="1"/>
  <c r="CC144" i="1"/>
  <c r="BW144" i="1"/>
  <c r="BU144" i="1"/>
  <c r="BS144" i="1"/>
  <c r="BQ144" i="1"/>
  <c r="BY144" i="1"/>
  <c r="CA144" i="1"/>
  <c r="BH92" i="1"/>
  <c r="CA56" i="1"/>
  <c r="CC56" i="1"/>
  <c r="BY56" i="1"/>
  <c r="BU56" i="1"/>
  <c r="BS56" i="1"/>
  <c r="BY60" i="1"/>
  <c r="CA60" i="1"/>
  <c r="CA64" i="1"/>
  <c r="BY64" i="1"/>
  <c r="CC64" i="1"/>
  <c r="BU64" i="1"/>
  <c r="BS64" i="1"/>
  <c r="CC72" i="1"/>
  <c r="CG72" i="1"/>
  <c r="CE72" i="1"/>
  <c r="CA72" i="1"/>
  <c r="BY72" i="1"/>
  <c r="BW72" i="1"/>
  <c r="CE80" i="1"/>
  <c r="CC80" i="1"/>
  <c r="CG80" i="1"/>
  <c r="CA80" i="1"/>
  <c r="BY80" i="1"/>
  <c r="BW80" i="1"/>
  <c r="CC84" i="1"/>
  <c r="CE84" i="1"/>
  <c r="BY84" i="1"/>
  <c r="BW84" i="1"/>
  <c r="CA84" i="1"/>
  <c r="CG84" i="1"/>
  <c r="BU84" i="1"/>
  <c r="CG88" i="1"/>
  <c r="CC88" i="1"/>
  <c r="CE88" i="1"/>
  <c r="CA88" i="1"/>
  <c r="BY88" i="1"/>
  <c r="BW88" i="1"/>
  <c r="BU88" i="1"/>
  <c r="CA117" i="1"/>
  <c r="CG117" i="1"/>
  <c r="CE117" i="1"/>
  <c r="CC117" i="1"/>
  <c r="BY117" i="1"/>
  <c r="BW117" i="1"/>
  <c r="BS117" i="1"/>
  <c r="BQ117" i="1"/>
  <c r="CA121" i="1"/>
  <c r="CE121" i="1"/>
  <c r="CC121" i="1"/>
  <c r="BY121" i="1"/>
  <c r="BW121" i="1"/>
  <c r="CG121" i="1"/>
  <c r="BU121" i="1"/>
  <c r="BS121" i="1"/>
  <c r="BQ121" i="1"/>
  <c r="CG125" i="1"/>
  <c r="CA125" i="1"/>
  <c r="CE125" i="1"/>
  <c r="CC125" i="1"/>
  <c r="BY125" i="1"/>
  <c r="BW125" i="1"/>
  <c r="BS125" i="1"/>
  <c r="BQ125" i="1"/>
  <c r="CA129" i="1"/>
  <c r="CG129" i="1"/>
  <c r="CE129" i="1"/>
  <c r="CC129" i="1"/>
  <c r="BY129" i="1"/>
  <c r="BW129" i="1"/>
  <c r="BU129" i="1"/>
  <c r="BS129" i="1"/>
  <c r="BQ129" i="1"/>
  <c r="CG137" i="1"/>
  <c r="CA137" i="1"/>
  <c r="CC137" i="1"/>
  <c r="BY137" i="1"/>
  <c r="BU137" i="1"/>
  <c r="BS137" i="1"/>
  <c r="BQ137" i="1"/>
  <c r="CG141" i="1"/>
  <c r="CE141" i="1"/>
  <c r="CC141" i="1"/>
  <c r="CA141" i="1"/>
  <c r="BW141" i="1"/>
  <c r="BU141" i="1"/>
  <c r="BY141" i="1"/>
  <c r="CE145" i="1"/>
  <c r="CC145" i="1"/>
  <c r="CG145" i="1"/>
  <c r="BW145" i="1"/>
  <c r="BU145" i="1"/>
  <c r="CA145" i="1"/>
  <c r="BY145" i="1"/>
  <c r="CE153" i="1"/>
  <c r="CC153" i="1"/>
  <c r="CG153" i="1"/>
  <c r="BW153" i="1"/>
  <c r="BU153" i="1"/>
  <c r="CA153" i="1"/>
  <c r="BS153" i="1"/>
  <c r="BQ153" i="1"/>
  <c r="BY153" i="1"/>
  <c r="CG161" i="1"/>
  <c r="CC161" i="1"/>
  <c r="CA161" i="1"/>
  <c r="CE161" i="1"/>
  <c r="BW161" i="1"/>
  <c r="BU161" i="1"/>
  <c r="BS161" i="1"/>
  <c r="BQ161" i="1"/>
  <c r="BI56" i="1"/>
  <c r="BI64" i="1"/>
  <c r="BI74" i="1"/>
  <c r="BI79" i="1"/>
  <c r="BI84" i="1"/>
  <c r="BI88" i="1"/>
  <c r="BI119" i="1"/>
  <c r="BI123" i="1"/>
  <c r="BI127" i="1"/>
  <c r="BI131" i="1"/>
  <c r="BI137" i="1"/>
  <c r="BI142" i="1"/>
  <c r="BI146" i="1"/>
  <c r="BI153" i="1"/>
  <c r="BK60" i="1"/>
  <c r="BK75" i="1"/>
  <c r="BK78" i="1"/>
  <c r="BK82" i="1"/>
  <c r="BK86" i="1"/>
  <c r="BK90" i="1"/>
  <c r="BK119" i="1"/>
  <c r="BK123" i="1"/>
  <c r="BK127" i="1"/>
  <c r="BK131" i="1"/>
  <c r="BK136" i="1"/>
  <c r="BK141" i="1"/>
  <c r="BK145" i="1"/>
  <c r="BK150" i="1"/>
  <c r="BK154" i="1"/>
  <c r="BM35" i="1"/>
  <c r="BM56" i="1"/>
  <c r="BM73" i="1"/>
  <c r="BM77" i="1"/>
  <c r="BM81" i="1"/>
  <c r="BM85" i="1"/>
  <c r="BM89" i="1"/>
  <c r="BM119" i="1"/>
  <c r="BM123" i="1"/>
  <c r="BM127" i="1"/>
  <c r="BM131" i="1"/>
  <c r="BM136" i="1"/>
  <c r="BM141" i="1"/>
  <c r="BM145" i="1"/>
  <c r="BL149" i="1"/>
  <c r="BM149" i="1" s="1"/>
  <c r="BM153" i="1"/>
  <c r="BM161" i="1"/>
  <c r="BO43" i="1"/>
  <c r="BO56" i="1"/>
  <c r="BO75" i="1"/>
  <c r="BO79" i="1"/>
  <c r="BO87" i="1"/>
  <c r="BO91" i="1"/>
  <c r="BO118" i="1"/>
  <c r="BO122" i="1"/>
  <c r="BO126" i="1"/>
  <c r="BO130" i="1"/>
  <c r="BO135" i="1"/>
  <c r="BO144" i="1"/>
  <c r="BO150" i="1"/>
  <c r="BQ72" i="1"/>
  <c r="BQ84" i="1"/>
  <c r="BQ131" i="1"/>
  <c r="BQ145" i="1"/>
  <c r="BS127" i="1"/>
  <c r="BS141" i="1"/>
  <c r="BU23" i="1"/>
  <c r="BU60" i="1"/>
  <c r="BU87" i="1"/>
  <c r="BU117" i="1"/>
  <c r="BY79" i="1"/>
  <c r="CA135" i="1"/>
  <c r="BY150" i="1"/>
  <c r="CC150" i="1"/>
  <c r="CB149" i="1"/>
  <c r="CC149" i="1" s="1"/>
  <c r="BU150" i="1"/>
  <c r="BW150" i="1"/>
  <c r="CB92" i="1"/>
  <c r="CD92" i="1"/>
  <c r="CE150" i="1"/>
  <c r="CD149" i="1"/>
  <c r="CE149" i="1" s="1"/>
  <c r="CG150" i="1"/>
  <c r="CA150" i="1"/>
  <c r="CA149" i="1"/>
  <c r="BX149" i="1"/>
  <c r="BY149" i="1" s="1"/>
  <c r="BX92" i="1"/>
  <c r="BX52" i="1"/>
  <c r="BV149" i="1"/>
  <c r="BW149" i="1" s="1"/>
  <c r="BV52" i="1"/>
  <c r="BV10" i="1"/>
  <c r="BT149" i="1"/>
  <c r="BU149" i="1" s="1"/>
  <c r="BT92" i="1"/>
  <c r="BT52" i="1"/>
  <c r="BT50" i="1" s="1"/>
  <c r="BT10" i="1"/>
  <c r="BR149" i="1"/>
  <c r="BS149" i="1" s="1"/>
  <c r="BR92" i="1"/>
  <c r="BR52" i="1"/>
  <c r="BP149" i="1"/>
  <c r="BQ149" i="1" s="1"/>
  <c r="BP114" i="1"/>
  <c r="BP92" i="1"/>
  <c r="BP52" i="1"/>
  <c r="BP10" i="1"/>
  <c r="BN149" i="1"/>
  <c r="BO149" i="1" s="1"/>
  <c r="BN92" i="1"/>
  <c r="BN52" i="1"/>
  <c r="BL92" i="1"/>
  <c r="BL52" i="1"/>
  <c r="BL10" i="1"/>
  <c r="BL8" i="1" s="1"/>
  <c r="CF15" i="1"/>
  <c r="CF11" i="1" s="1"/>
  <c r="CF10" i="1" s="1"/>
  <c r="BJ114" i="1"/>
  <c r="BJ149" i="1"/>
  <c r="BK149" i="1" s="1"/>
  <c r="BJ92" i="1"/>
  <c r="BJ52" i="1"/>
  <c r="BJ10" i="1"/>
  <c r="BJ8" i="1" s="1"/>
  <c r="BI40" i="1"/>
  <c r="BM40" i="1"/>
  <c r="BI150" i="1"/>
  <c r="CF149" i="1"/>
  <c r="CG149" i="1" s="1"/>
  <c r="CF114" i="1"/>
  <c r="BW17" i="1"/>
  <c r="CA17" i="1"/>
  <c r="BQ17" i="1"/>
  <c r="CG41" i="1"/>
  <c r="CC41" i="1"/>
  <c r="CA41" i="1"/>
  <c r="BY41" i="1"/>
  <c r="CE41" i="1"/>
  <c r="BK41" i="1"/>
  <c r="BQ41" i="1"/>
  <c r="BM41" i="1"/>
  <c r="BW41" i="1"/>
  <c r="BO41" i="1"/>
  <c r="BS41" i="1"/>
  <c r="BU41" i="1"/>
  <c r="BI41" i="1"/>
  <c r="CG45" i="1"/>
  <c r="CE45" i="1"/>
  <c r="CC45" i="1"/>
  <c r="CA45" i="1"/>
  <c r="BO45" i="1"/>
  <c r="BK45" i="1"/>
  <c r="BY45" i="1"/>
  <c r="BQ45" i="1"/>
  <c r="BM45" i="1"/>
  <c r="BS45" i="1"/>
  <c r="BW45" i="1"/>
  <c r="BU45" i="1"/>
  <c r="BY54" i="1"/>
  <c r="CC54" i="1"/>
  <c r="CA54" i="1"/>
  <c r="BW54" i="1"/>
  <c r="BS54" i="1"/>
  <c r="BO54" i="1"/>
  <c r="BM54" i="1"/>
  <c r="BI54" i="1"/>
  <c r="BU54" i="1"/>
  <c r="BK54" i="1"/>
  <c r="CE54" i="1"/>
  <c r="BQ54" i="1"/>
  <c r="CG54" i="1"/>
  <c r="BY58" i="1"/>
  <c r="CC58" i="1"/>
  <c r="CA58" i="1"/>
  <c r="BS58" i="1"/>
  <c r="BO58" i="1"/>
  <c r="BM58" i="1"/>
  <c r="BI58" i="1"/>
  <c r="CE58" i="1"/>
  <c r="BU58" i="1"/>
  <c r="BW58" i="1"/>
  <c r="CG58" i="1"/>
  <c r="CG62" i="1"/>
  <c r="BY62" i="1"/>
  <c r="BU62" i="1"/>
  <c r="CC62" i="1"/>
  <c r="CA62" i="1"/>
  <c r="BW62" i="1"/>
  <c r="BS62" i="1"/>
  <c r="BO62" i="1"/>
  <c r="BM62" i="1"/>
  <c r="BI62" i="1"/>
  <c r="BK62" i="1"/>
  <c r="CE62" i="1"/>
  <c r="BQ62" i="1"/>
  <c r="CG70" i="1"/>
  <c r="CC70" i="1"/>
  <c r="BW70" i="1"/>
  <c r="CE70" i="1"/>
  <c r="CA70" i="1"/>
  <c r="BU70" i="1"/>
  <c r="BQ70" i="1"/>
  <c r="BK70" i="1"/>
  <c r="BY70" i="1"/>
  <c r="BS70" i="1"/>
  <c r="BO70" i="1"/>
  <c r="BM70" i="1"/>
  <c r="BI70" i="1"/>
  <c r="BM17" i="1"/>
  <c r="BQ58" i="1"/>
  <c r="BI45" i="1"/>
  <c r="BK58" i="1"/>
  <c r="CG22" i="1"/>
  <c r="BW22" i="1"/>
  <c r="CC22" i="1"/>
  <c r="CA22" i="1"/>
  <c r="BY22" i="1"/>
  <c r="BS22" i="1"/>
  <c r="BK22" i="1"/>
  <c r="CG42" i="1"/>
  <c r="CE42" i="1"/>
  <c r="BY42" i="1"/>
  <c r="BW42" i="1"/>
  <c r="BQ42" i="1"/>
  <c r="BO42" i="1"/>
  <c r="BM42" i="1"/>
  <c r="CC42" i="1"/>
  <c r="BU42" i="1"/>
  <c r="CG59" i="1"/>
  <c r="CC59" i="1"/>
  <c r="CA59" i="1"/>
  <c r="CE59" i="1"/>
  <c r="BW59" i="1"/>
  <c r="BQ59" i="1"/>
  <c r="CG67" i="1"/>
  <c r="CE67" i="1"/>
  <c r="BW67" i="1"/>
  <c r="BY67" i="1"/>
  <c r="BQ67" i="1"/>
  <c r="BK67" i="1"/>
  <c r="BO59" i="1"/>
  <c r="BS38" i="1"/>
  <c r="BS59" i="1"/>
  <c r="BU59" i="1"/>
  <c r="BY59" i="1"/>
  <c r="BI22" i="1"/>
  <c r="BI36" i="1"/>
  <c r="BI55" i="1"/>
  <c r="BK38" i="1"/>
  <c r="BK55" i="1"/>
  <c r="BK69" i="1"/>
  <c r="BM55" i="1"/>
  <c r="BM67" i="1"/>
  <c r="BO22" i="1"/>
  <c r="BO71" i="1"/>
  <c r="BQ22" i="1"/>
  <c r="BS71" i="1"/>
  <c r="CA42" i="1"/>
  <c r="CA67" i="1"/>
  <c r="BW18" i="1"/>
  <c r="BY18" i="1"/>
  <c r="CG18" i="1"/>
  <c r="CE18" i="1"/>
  <c r="CG38" i="1"/>
  <c r="CE38" i="1"/>
  <c r="BQ38" i="1"/>
  <c r="BO38" i="1"/>
  <c r="BM38" i="1"/>
  <c r="CA38" i="1"/>
  <c r="BU38" i="1"/>
  <c r="CG46" i="1"/>
  <c r="BY46" i="1"/>
  <c r="BQ46" i="1"/>
  <c r="BM46" i="1"/>
  <c r="CE46" i="1"/>
  <c r="BW46" i="1"/>
  <c r="BU46" i="1"/>
  <c r="BS46" i="1"/>
  <c r="CG55" i="1"/>
  <c r="CC55" i="1"/>
  <c r="CA55" i="1"/>
  <c r="CE55" i="1"/>
  <c r="BW55" i="1"/>
  <c r="BY55" i="1"/>
  <c r="BQ55" i="1"/>
  <c r="CG63" i="1"/>
  <c r="CC63" i="1"/>
  <c r="CA63" i="1"/>
  <c r="CE63" i="1"/>
  <c r="BW63" i="1"/>
  <c r="BY63" i="1"/>
  <c r="BQ63" i="1"/>
  <c r="CG71" i="1"/>
  <c r="CE71" i="1"/>
  <c r="BQ71" i="1"/>
  <c r="BK71" i="1"/>
  <c r="BI71" i="1"/>
  <c r="CC71" i="1"/>
  <c r="BY71" i="1"/>
  <c r="BM71" i="1"/>
  <c r="BI46" i="1"/>
  <c r="BI59" i="1"/>
  <c r="BK59" i="1"/>
  <c r="BM18" i="1"/>
  <c r="BU71" i="1"/>
  <c r="CA46" i="1"/>
  <c r="CC38" i="1"/>
  <c r="CG20" i="1"/>
  <c r="CE20" i="1"/>
  <c r="BU20" i="1"/>
  <c r="BQ20" i="1"/>
  <c r="BO20" i="1"/>
  <c r="BM20" i="1"/>
  <c r="BI20" i="1"/>
  <c r="CA20" i="1"/>
  <c r="CE28" i="1"/>
  <c r="BO28" i="1"/>
  <c r="CG36" i="1"/>
  <c r="BW36" i="1"/>
  <c r="CC36" i="1"/>
  <c r="BY36" i="1"/>
  <c r="BS36" i="1"/>
  <c r="BK36" i="1"/>
  <c r="CG40" i="1"/>
  <c r="BW40" i="1"/>
  <c r="CC40" i="1"/>
  <c r="CA40" i="1"/>
  <c r="BY40" i="1"/>
  <c r="CE40" i="1"/>
  <c r="BS40" i="1"/>
  <c r="BK40" i="1"/>
  <c r="CG48" i="1"/>
  <c r="CA48" i="1"/>
  <c r="BY48" i="1"/>
  <c r="BW48" i="1"/>
  <c r="CE48" i="1"/>
  <c r="CC48" i="1"/>
  <c r="BI48" i="1"/>
  <c r="BK48" i="1"/>
  <c r="BO48" i="1"/>
  <c r="CG57" i="1"/>
  <c r="BY57" i="1"/>
  <c r="CA57" i="1"/>
  <c r="BU57" i="1"/>
  <c r="BK57" i="1"/>
  <c r="BM57" i="1"/>
  <c r="CC57" i="1"/>
  <c r="BS57" i="1"/>
  <c r="BO57" i="1"/>
  <c r="CG61" i="1"/>
  <c r="BY61" i="1"/>
  <c r="CE61" i="1"/>
  <c r="BU61" i="1"/>
  <c r="BK61" i="1"/>
  <c r="BO61" i="1"/>
  <c r="BW61" i="1"/>
  <c r="BS61" i="1"/>
  <c r="BM61" i="1"/>
  <c r="CG65" i="1"/>
  <c r="BY65" i="1"/>
  <c r="CA65" i="1"/>
  <c r="BK65" i="1"/>
  <c r="BO65" i="1"/>
  <c r="BM65" i="1"/>
  <c r="CC65" i="1"/>
  <c r="BU65" i="1"/>
  <c r="BS65" i="1"/>
  <c r="CG69" i="1"/>
  <c r="CA69" i="1"/>
  <c r="BY69" i="1"/>
  <c r="BU69" i="1"/>
  <c r="CC69" i="1"/>
  <c r="BW69" i="1"/>
  <c r="BS69" i="1"/>
  <c r="BO69" i="1"/>
  <c r="BI42" i="1"/>
  <c r="BI61" i="1"/>
  <c r="BI67" i="1"/>
  <c r="BK46" i="1"/>
  <c r="BO46" i="1"/>
  <c r="BO55" i="1"/>
  <c r="BO63" i="1"/>
  <c r="BO67" i="1"/>
  <c r="BQ40" i="1"/>
  <c r="BQ48" i="1"/>
  <c r="BQ57" i="1"/>
  <c r="BQ65" i="1"/>
  <c r="BS55" i="1"/>
  <c r="BS63" i="1"/>
  <c r="BS67" i="1"/>
  <c r="BU36" i="1"/>
  <c r="BU63" i="1"/>
  <c r="BU67" i="1"/>
  <c r="BW38" i="1"/>
  <c r="BW65" i="1"/>
  <c r="BY20" i="1"/>
  <c r="CC28" i="1"/>
  <c r="CC67" i="1"/>
  <c r="CE22" i="1"/>
  <c r="CE36" i="1"/>
  <c r="CE57" i="1"/>
  <c r="BY35" i="1"/>
  <c r="BY39" i="1"/>
  <c r="CC19" i="1"/>
  <c r="CG23" i="1"/>
  <c r="CC23" i="1"/>
  <c r="CA23" i="1"/>
  <c r="BY23" i="1"/>
  <c r="CE23" i="1"/>
  <c r="CC27" i="1"/>
  <c r="CE27" i="1"/>
  <c r="CG31" i="1"/>
  <c r="CA31" i="1"/>
  <c r="BY31" i="1"/>
  <c r="CE31" i="1"/>
  <c r="CG35" i="1"/>
  <c r="CE35" i="1"/>
  <c r="BW35" i="1"/>
  <c r="CG39" i="1"/>
  <c r="BW39" i="1"/>
  <c r="CG43" i="1"/>
  <c r="BW43" i="1"/>
  <c r="CA47" i="1"/>
  <c r="BY47" i="1"/>
  <c r="BW47" i="1"/>
  <c r="CG56" i="1"/>
  <c r="CE56" i="1"/>
  <c r="BW56" i="1"/>
  <c r="CG60" i="1"/>
  <c r="CE60" i="1"/>
  <c r="BW60" i="1"/>
  <c r="CG64" i="1"/>
  <c r="CE64" i="1"/>
  <c r="BW64" i="1"/>
  <c r="BI35" i="1"/>
  <c r="BI39" i="1"/>
  <c r="BI43" i="1"/>
  <c r="BK23" i="1"/>
  <c r="BM31" i="1"/>
  <c r="BO35" i="1"/>
  <c r="BQ31" i="1"/>
  <c r="BQ56" i="1"/>
  <c r="BQ60" i="1"/>
  <c r="BQ64" i="1"/>
  <c r="BS47" i="1"/>
  <c r="BU35" i="1"/>
  <c r="BU39" i="1"/>
  <c r="BU43" i="1"/>
  <c r="BU47" i="1"/>
  <c r="CA35" i="1"/>
  <c r="CA39" i="1"/>
  <c r="CC31" i="1"/>
  <c r="CC43" i="1"/>
  <c r="CC60" i="1"/>
  <c r="CE47" i="1"/>
  <c r="BH52" i="1"/>
  <c r="BH11" i="1"/>
  <c r="CF133" i="1"/>
  <c r="CF92" i="1"/>
  <c r="CF52" i="1"/>
  <c r="CD11" i="1"/>
  <c r="BX11" i="1"/>
  <c r="BV8" i="1"/>
  <c r="BT8" i="1"/>
  <c r="BR11" i="1"/>
  <c r="BP8" i="1"/>
  <c r="BN11" i="1"/>
  <c r="BL50" i="1"/>
  <c r="BH133" i="1"/>
  <c r="BH115" i="1"/>
  <c r="BF29" i="1"/>
  <c r="BG29" i="1" s="1"/>
  <c r="BW29" i="1" s="1"/>
  <c r="BF28" i="1"/>
  <c r="BG28" i="1" s="1"/>
  <c r="BI28" i="1" s="1"/>
  <c r="BF27" i="1"/>
  <c r="BG27" i="1" s="1"/>
  <c r="BY27" i="1" s="1"/>
  <c r="BF26" i="1"/>
  <c r="BF24" i="1"/>
  <c r="BG24" i="1" s="1"/>
  <c r="CG24" i="1" s="1"/>
  <c r="BF19" i="1"/>
  <c r="BG19" i="1" s="1"/>
  <c r="BY19" i="1" s="1"/>
  <c r="BF18" i="1"/>
  <c r="BG18" i="1" s="1"/>
  <c r="BU18" i="1" s="1"/>
  <c r="BF17" i="1"/>
  <c r="BG17" i="1" s="1"/>
  <c r="CG17" i="1" s="1"/>
  <c r="CD50" i="1" l="1"/>
  <c r="CB50" i="1"/>
  <c r="BO24" i="1"/>
  <c r="CC29" i="1"/>
  <c r="BI29" i="1"/>
  <c r="BF25" i="1"/>
  <c r="BG25" i="1" s="1"/>
  <c r="BG26" i="1"/>
  <c r="CE19" i="1"/>
  <c r="CG19" i="1"/>
  <c r="BQ18" i="1"/>
  <c r="BK28" i="1"/>
  <c r="BI18" i="1"/>
  <c r="BU28" i="1"/>
  <c r="CC24" i="1"/>
  <c r="BQ24" i="1"/>
  <c r="CE24" i="1"/>
  <c r="BK18" i="1"/>
  <c r="CA18" i="1"/>
  <c r="BM29" i="1"/>
  <c r="BK29" i="1"/>
  <c r="CA29" i="1"/>
  <c r="BK17" i="1"/>
  <c r="BY17" i="1"/>
  <c r="BS17" i="1"/>
  <c r="BX50" i="1"/>
  <c r="BQ29" i="1"/>
  <c r="CG29" i="1"/>
  <c r="BW27" i="1"/>
  <c r="CG27" i="1"/>
  <c r="BU27" i="1"/>
  <c r="BS27" i="1"/>
  <c r="BI27" i="1"/>
  <c r="BK27" i="1"/>
  <c r="BO27" i="1"/>
  <c r="BQ27" i="1"/>
  <c r="BM27" i="1"/>
  <c r="BK19" i="1"/>
  <c r="CA27" i="1"/>
  <c r="BO18" i="1"/>
  <c r="BW28" i="1"/>
  <c r="BI24" i="1"/>
  <c r="BU24" i="1"/>
  <c r="BS18" i="1"/>
  <c r="CC18" i="1"/>
  <c r="BU29" i="1"/>
  <c r="BS29" i="1"/>
  <c r="CE29" i="1"/>
  <c r="BI17" i="1"/>
  <c r="CE17" i="1"/>
  <c r="CC17" i="1"/>
  <c r="BV50" i="1"/>
  <c r="BS24" i="1"/>
  <c r="CA24" i="1"/>
  <c r="BK24" i="1"/>
  <c r="BY24" i="1"/>
  <c r="BW19" i="1"/>
  <c r="BU19" i="1"/>
  <c r="BS19" i="1"/>
  <c r="BI19" i="1"/>
  <c r="BQ19" i="1"/>
  <c r="BO19" i="1"/>
  <c r="BM19" i="1"/>
  <c r="BQ28" i="1"/>
  <c r="BY28" i="1"/>
  <c r="BS28" i="1"/>
  <c r="BM28" i="1"/>
  <c r="CA19" i="1"/>
  <c r="CA28" i="1"/>
  <c r="CG28" i="1"/>
  <c r="BM24" i="1"/>
  <c r="BW24" i="1"/>
  <c r="BO29" i="1"/>
  <c r="BY29" i="1"/>
  <c r="BO17" i="1"/>
  <c r="BU17" i="1"/>
  <c r="BR50" i="1"/>
  <c r="BP50" i="1"/>
  <c r="BN50" i="1"/>
  <c r="BJ50" i="1"/>
  <c r="CF8" i="1"/>
  <c r="CF6" i="1" s="1"/>
  <c r="BH10" i="1"/>
  <c r="CF50" i="1"/>
  <c r="CD10" i="1"/>
  <c r="CB6" i="1"/>
  <c r="BX10" i="1"/>
  <c r="BV6" i="1"/>
  <c r="BT6" i="1"/>
  <c r="BR10" i="1"/>
  <c r="BP6" i="1"/>
  <c r="BN10" i="1"/>
  <c r="BL6" i="1"/>
  <c r="BJ6" i="1"/>
  <c r="BH114" i="1"/>
  <c r="BI26" i="1" l="1"/>
  <c r="CA26" i="1"/>
  <c r="BQ26" i="1"/>
  <c r="BU26" i="1"/>
  <c r="BY26" i="1"/>
  <c r="BM26" i="1"/>
  <c r="BO26" i="1"/>
  <c r="BK26" i="1"/>
  <c r="BW26" i="1"/>
  <c r="BS26" i="1"/>
  <c r="CG26" i="1"/>
  <c r="CC26" i="1"/>
  <c r="CE26" i="1"/>
  <c r="BK25" i="1"/>
  <c r="BO25" i="1"/>
  <c r="BS25" i="1"/>
  <c r="CG25" i="1"/>
  <c r="CC25" i="1"/>
  <c r="BI25" i="1"/>
  <c r="BM25" i="1"/>
  <c r="BU25" i="1"/>
  <c r="BQ25" i="1"/>
  <c r="CA25" i="1"/>
  <c r="BY25" i="1"/>
  <c r="BW25" i="1"/>
  <c r="CE25" i="1"/>
  <c r="BH50" i="1"/>
  <c r="BH8" i="1"/>
  <c r="BH6" i="1" s="1"/>
  <c r="CD8" i="1"/>
  <c r="BX8" i="1"/>
  <c r="BR8" i="1"/>
  <c r="BN8" i="1"/>
  <c r="BF115" i="1"/>
  <c r="BG115" i="1" s="1"/>
  <c r="BK115" i="1" l="1"/>
  <c r="CA115" i="1"/>
  <c r="BW115" i="1"/>
  <c r="BU115" i="1"/>
  <c r="BO115" i="1"/>
  <c r="BM115" i="1"/>
  <c r="CG115" i="1"/>
  <c r="BQ115" i="1"/>
  <c r="CE115" i="1"/>
  <c r="BS115" i="1"/>
  <c r="CC115" i="1"/>
  <c r="BY115" i="1"/>
  <c r="BI115" i="1"/>
  <c r="CD6" i="1"/>
  <c r="BX6" i="1"/>
  <c r="BR6" i="1"/>
  <c r="BN6" i="1"/>
  <c r="G4" i="4"/>
  <c r="D4" i="4"/>
  <c r="G3" i="4"/>
  <c r="D3" i="4"/>
  <c r="D5" i="4"/>
  <c r="D6" i="4"/>
  <c r="D7" i="4"/>
  <c r="D8" i="4"/>
  <c r="D9" i="4"/>
  <c r="D10" i="4"/>
  <c r="D11" i="4"/>
  <c r="D12" i="4"/>
  <c r="D13" i="4"/>
  <c r="D14" i="4"/>
  <c r="D15" i="4"/>
  <c r="B16" i="4"/>
  <c r="D39" i="4"/>
  <c r="D16" i="4" l="1"/>
  <c r="BF12" i="1" s="1"/>
  <c r="F16" i="3"/>
  <c r="H16" i="3" s="1"/>
  <c r="BF44" i="1"/>
  <c r="BG44" i="1" s="1"/>
  <c r="BF37" i="1"/>
  <c r="F10" i="1"/>
  <c r="BF30" i="1"/>
  <c r="K13" i="4"/>
  <c r="C18" i="3" l="1"/>
  <c r="H18" i="3" s="1"/>
  <c r="BG30" i="1"/>
  <c r="BQ44" i="1"/>
  <c r="BY44" i="1"/>
  <c r="BM44" i="1"/>
  <c r="BK44" i="1"/>
  <c r="BI44" i="1"/>
  <c r="CA44" i="1"/>
  <c r="BW44" i="1"/>
  <c r="CE44" i="1"/>
  <c r="BU44" i="1"/>
  <c r="CG44" i="1"/>
  <c r="CC44" i="1"/>
  <c r="BS44" i="1"/>
  <c r="BO44" i="1"/>
  <c r="BG12" i="1"/>
  <c r="C14" i="3"/>
  <c r="BG37" i="1"/>
  <c r="C13" i="3"/>
  <c r="BF83" i="1"/>
  <c r="BG83" i="1" s="1"/>
  <c r="BF114" i="1"/>
  <c r="BG114" i="1" s="1"/>
  <c r="BD140" i="1"/>
  <c r="CE12" i="1" l="1"/>
  <c r="BU12" i="1"/>
  <c r="BQ12" i="1"/>
  <c r="BI12" i="1"/>
  <c r="CC12" i="1"/>
  <c r="BO12" i="1"/>
  <c r="CA12" i="1"/>
  <c r="BW12" i="1"/>
  <c r="BM12" i="1"/>
  <c r="CG12" i="1"/>
  <c r="BK12" i="1"/>
  <c r="BY12" i="1"/>
  <c r="BS12" i="1"/>
  <c r="CC114" i="1"/>
  <c r="BO114" i="1"/>
  <c r="BM114" i="1"/>
  <c r="BY114" i="1"/>
  <c r="CE114" i="1"/>
  <c r="BU114" i="1"/>
  <c r="BS114" i="1"/>
  <c r="CA114" i="1"/>
  <c r="BW114" i="1"/>
  <c r="BK114" i="1"/>
  <c r="BQ114" i="1"/>
  <c r="CG114" i="1"/>
  <c r="BI114" i="1"/>
  <c r="CC30" i="1"/>
  <c r="BI30" i="1"/>
  <c r="BO30" i="1"/>
  <c r="BW30" i="1"/>
  <c r="CA30" i="1"/>
  <c r="BM30" i="1"/>
  <c r="BQ30" i="1"/>
  <c r="BU30" i="1"/>
  <c r="BS30" i="1"/>
  <c r="BY30" i="1"/>
  <c r="CG30" i="1"/>
  <c r="CE30" i="1"/>
  <c r="BK30" i="1"/>
  <c r="BU83" i="1"/>
  <c r="BI83" i="1"/>
  <c r="BO83" i="1"/>
  <c r="BM83" i="1"/>
  <c r="BQ83" i="1"/>
  <c r="CA83" i="1"/>
  <c r="CE83" i="1"/>
  <c r="BY83" i="1"/>
  <c r="BS83" i="1"/>
  <c r="BW83" i="1"/>
  <c r="BK83" i="1"/>
  <c r="CC83" i="1"/>
  <c r="CG83" i="1"/>
  <c r="CE37" i="1"/>
  <c r="CC37" i="1"/>
  <c r="BQ37" i="1"/>
  <c r="CA37" i="1"/>
  <c r="BI37" i="1"/>
  <c r="BM37" i="1"/>
  <c r="BS37" i="1"/>
  <c r="BK37" i="1"/>
  <c r="BO37" i="1"/>
  <c r="CG37" i="1"/>
  <c r="BU37" i="1"/>
  <c r="BW37" i="1"/>
  <c r="BY37" i="1"/>
  <c r="C15" i="3"/>
  <c r="F13" i="3"/>
  <c r="H13" i="3" s="1"/>
  <c r="G9" i="3"/>
  <c r="BF76" i="1"/>
  <c r="BG76" i="1" s="1"/>
  <c r="BF68" i="1"/>
  <c r="BG68" i="1" s="1"/>
  <c r="BF66" i="1"/>
  <c r="BG66" i="1" s="1"/>
  <c r="BF53" i="1"/>
  <c r="G12" i="4"/>
  <c r="G13" i="4"/>
  <c r="G14" i="4"/>
  <c r="G15" i="4"/>
  <c r="G19" i="4"/>
  <c r="G5" i="4"/>
  <c r="G6" i="4"/>
  <c r="G7" i="4"/>
  <c r="G8" i="4"/>
  <c r="L14" i="4"/>
  <c r="K14" i="4"/>
  <c r="K15" i="4" s="1"/>
  <c r="BF33" i="1" s="1"/>
  <c r="BG33" i="1" s="1"/>
  <c r="L13" i="4"/>
  <c r="G7" i="3" l="1"/>
  <c r="BG53" i="1"/>
  <c r="BU68" i="1"/>
  <c r="BK68" i="1"/>
  <c r="BS68" i="1"/>
  <c r="CA68" i="1"/>
  <c r="BW68" i="1"/>
  <c r="CE68" i="1"/>
  <c r="CG68" i="1"/>
  <c r="BM68" i="1"/>
  <c r="BI68" i="1"/>
  <c r="BO68" i="1"/>
  <c r="BQ68" i="1"/>
  <c r="CC68" i="1"/>
  <c r="BY68" i="1"/>
  <c r="CE66" i="1"/>
  <c r="BQ66" i="1"/>
  <c r="BO66" i="1"/>
  <c r="CG66" i="1"/>
  <c r="BW66" i="1"/>
  <c r="BK66" i="1"/>
  <c r="BM66" i="1"/>
  <c r="BY66" i="1"/>
  <c r="CC66" i="1"/>
  <c r="BI66" i="1"/>
  <c r="BU66" i="1"/>
  <c r="CA66" i="1"/>
  <c r="BS66" i="1"/>
  <c r="BK76" i="1"/>
  <c r="BS76" i="1"/>
  <c r="BM76" i="1"/>
  <c r="BO76" i="1"/>
  <c r="BY76" i="1"/>
  <c r="BQ76" i="1"/>
  <c r="BU76" i="1"/>
  <c r="BW76" i="1"/>
  <c r="CE76" i="1"/>
  <c r="CC76" i="1"/>
  <c r="CA76" i="1"/>
  <c r="BI76" i="1"/>
  <c r="CG76" i="1"/>
  <c r="CC33" i="1"/>
  <c r="CA33" i="1"/>
  <c r="BY33" i="1"/>
  <c r="CE33" i="1"/>
  <c r="BS33" i="1"/>
  <c r="BK33" i="1"/>
  <c r="BQ33" i="1"/>
  <c r="BM33" i="1"/>
  <c r="CG33" i="1"/>
  <c r="BW33" i="1"/>
  <c r="BU33" i="1"/>
  <c r="BO33" i="1"/>
  <c r="BI33" i="1"/>
  <c r="L15" i="4"/>
  <c r="BF34" i="1" s="1"/>
  <c r="G20" i="4"/>
  <c r="BF14" i="1" s="1"/>
  <c r="BG14" i="1" s="1"/>
  <c r="G8" i="3"/>
  <c r="BF52" i="1"/>
  <c r="D3" i="6"/>
  <c r="D4" i="6"/>
  <c r="D5" i="6"/>
  <c r="D2" i="6"/>
  <c r="D19" i="4"/>
  <c r="BF13" i="1" s="1"/>
  <c r="CG14" i="1" l="1"/>
  <c r="CC14" i="1"/>
  <c r="BO14" i="1"/>
  <c r="CA14" i="1"/>
  <c r="BS14" i="1"/>
  <c r="BU14" i="1"/>
  <c r="BQ14" i="1"/>
  <c r="BY14" i="1"/>
  <c r="CE14" i="1"/>
  <c r="BK14" i="1"/>
  <c r="BW14" i="1"/>
  <c r="BM14" i="1"/>
  <c r="D6" i="6"/>
  <c r="BF21" i="1" s="1"/>
  <c r="BG52" i="1"/>
  <c r="CA53" i="1"/>
  <c r="CE53" i="1"/>
  <c r="BK53" i="1"/>
  <c r="CG53" i="1"/>
  <c r="BI53" i="1"/>
  <c r="BO53" i="1"/>
  <c r="BW53" i="1"/>
  <c r="CC53" i="1"/>
  <c r="BU53" i="1"/>
  <c r="BQ53" i="1"/>
  <c r="BS53" i="1"/>
  <c r="BM53" i="1"/>
  <c r="BY53" i="1"/>
  <c r="BG13" i="1"/>
  <c r="BF15" i="1"/>
  <c r="BG15" i="1" s="1"/>
  <c r="BF32" i="1"/>
  <c r="BG34" i="1"/>
  <c r="BF16" i="1"/>
  <c r="BG16" i="1" s="1"/>
  <c r="BG21" i="1"/>
  <c r="BK15" i="1" l="1"/>
  <c r="CE15" i="1"/>
  <c r="BU15" i="1"/>
  <c r="BI15" i="1"/>
  <c r="BM15" i="1"/>
  <c r="BO15" i="1"/>
  <c r="BQ15" i="1"/>
  <c r="BY15" i="1"/>
  <c r="CA15" i="1"/>
  <c r="CC15" i="1"/>
  <c r="BW15" i="1"/>
  <c r="BS15" i="1"/>
  <c r="CG15" i="1"/>
  <c r="CE52" i="1"/>
  <c r="CC52" i="1"/>
  <c r="BW52" i="1"/>
  <c r="BM52" i="1"/>
  <c r="BY52" i="1"/>
  <c r="BK52" i="1"/>
  <c r="CG52" i="1"/>
  <c r="BO52" i="1"/>
  <c r="BQ52" i="1"/>
  <c r="BU52" i="1"/>
  <c r="CA52" i="1"/>
  <c r="BS52" i="1"/>
  <c r="BI52" i="1"/>
  <c r="BQ13" i="1"/>
  <c r="BS13" i="1"/>
  <c r="BU13" i="1"/>
  <c r="BM13" i="1"/>
  <c r="CE13" i="1"/>
  <c r="BO13" i="1"/>
  <c r="CA13" i="1"/>
  <c r="BW13" i="1"/>
  <c r="CC13" i="1"/>
  <c r="BY13" i="1"/>
  <c r="BI13" i="1"/>
  <c r="CG13" i="1"/>
  <c r="BK13" i="1"/>
  <c r="CG21" i="1"/>
  <c r="BW21" i="1"/>
  <c r="CE21" i="1"/>
  <c r="CA21" i="1"/>
  <c r="BS21" i="1"/>
  <c r="BY21" i="1"/>
  <c r="BU21" i="1"/>
  <c r="BM21" i="1"/>
  <c r="BK21" i="1"/>
  <c r="CC21" i="1"/>
  <c r="BQ21" i="1"/>
  <c r="BO21" i="1"/>
  <c r="BI21" i="1"/>
  <c r="CC16" i="1"/>
  <c r="CG16" i="1"/>
  <c r="CA16" i="1"/>
  <c r="BI16" i="1"/>
  <c r="BO16" i="1"/>
  <c r="BS16" i="1"/>
  <c r="BY16" i="1"/>
  <c r="BK16" i="1"/>
  <c r="BQ16" i="1"/>
  <c r="BU16" i="1"/>
  <c r="CE16" i="1"/>
  <c r="BW16" i="1"/>
  <c r="BM16" i="1"/>
  <c r="CG34" i="1"/>
  <c r="CA34" i="1"/>
  <c r="BY34" i="1"/>
  <c r="CE34" i="1"/>
  <c r="BW34" i="1"/>
  <c r="BQ34" i="1"/>
  <c r="BM34" i="1"/>
  <c r="BO34" i="1"/>
  <c r="BU34" i="1"/>
  <c r="CC34" i="1"/>
  <c r="BK34" i="1"/>
  <c r="BS34" i="1"/>
  <c r="BI34" i="1"/>
  <c r="D8" i="3"/>
  <c r="C23" i="3"/>
  <c r="BG32" i="1"/>
  <c r="BD79" i="1"/>
  <c r="BE79" i="1" s="1"/>
  <c r="BE148" i="1"/>
  <c r="BE138" i="1"/>
  <c r="BE125" i="1"/>
  <c r="BE96" i="1"/>
  <c r="BF96" i="1" s="1"/>
  <c r="BG96" i="1" s="1"/>
  <c r="BE55" i="1"/>
  <c r="BE40" i="1"/>
  <c r="BE36" i="1"/>
  <c r="BE22" i="1"/>
  <c r="BE48" i="1"/>
  <c r="BE45" i="1"/>
  <c r="BE13" i="1"/>
  <c r="BD159" i="1"/>
  <c r="BE159" i="1" s="1"/>
  <c r="BD155" i="1"/>
  <c r="BE155" i="1" s="1"/>
  <c r="BD153" i="1"/>
  <c r="BE153" i="1" s="1"/>
  <c r="BD152" i="1"/>
  <c r="BE152" i="1" s="1"/>
  <c r="BD151" i="1"/>
  <c r="BD146" i="1"/>
  <c r="BE146" i="1" s="1"/>
  <c r="BD145" i="1"/>
  <c r="BE145" i="1" s="1"/>
  <c r="BD144" i="1"/>
  <c r="BE144" i="1" s="1"/>
  <c r="BD142" i="1"/>
  <c r="BE142" i="1" s="1"/>
  <c r="BE140" i="1"/>
  <c r="BF140" i="1" s="1"/>
  <c r="BD137" i="1"/>
  <c r="BE137" i="1" s="1"/>
  <c r="BD135" i="1"/>
  <c r="BE135" i="1" s="1"/>
  <c r="BD131" i="1"/>
  <c r="BE131" i="1" s="1"/>
  <c r="BD130" i="1"/>
  <c r="BE130" i="1" s="1"/>
  <c r="BD122" i="1"/>
  <c r="BE122" i="1" s="1"/>
  <c r="BD120" i="1"/>
  <c r="BE120" i="1" s="1"/>
  <c r="BD119" i="1"/>
  <c r="BE119" i="1" s="1"/>
  <c r="BD118" i="1"/>
  <c r="BE118" i="1" s="1"/>
  <c r="BD117" i="1"/>
  <c r="BE117" i="1" s="1"/>
  <c r="BD116" i="1"/>
  <c r="BD110" i="1"/>
  <c r="BE110" i="1" s="1"/>
  <c r="BD107" i="1"/>
  <c r="BE107" i="1" s="1"/>
  <c r="BF107" i="1" s="1"/>
  <c r="BG107" i="1" s="1"/>
  <c r="BD106" i="1"/>
  <c r="BE106" i="1" s="1"/>
  <c r="BF106" i="1" s="1"/>
  <c r="BG106" i="1" s="1"/>
  <c r="BD105" i="1"/>
  <c r="BE105" i="1" s="1"/>
  <c r="BF105" i="1" s="1"/>
  <c r="BG105" i="1" s="1"/>
  <c r="BD104" i="1"/>
  <c r="BE104" i="1" s="1"/>
  <c r="BF104" i="1" s="1"/>
  <c r="BG104" i="1" s="1"/>
  <c r="BD103" i="1"/>
  <c r="BE103" i="1" s="1"/>
  <c r="BF103" i="1" s="1"/>
  <c r="BG103" i="1" s="1"/>
  <c r="BD102" i="1"/>
  <c r="BE102" i="1" s="1"/>
  <c r="BF102" i="1" s="1"/>
  <c r="BG102" i="1" s="1"/>
  <c r="BD101" i="1"/>
  <c r="BE101" i="1" s="1"/>
  <c r="BF101" i="1" s="1"/>
  <c r="BG101" i="1" s="1"/>
  <c r="BD100" i="1"/>
  <c r="BE100" i="1" s="1"/>
  <c r="BF100" i="1" s="1"/>
  <c r="BG100" i="1" s="1"/>
  <c r="BD99" i="1"/>
  <c r="BE99" i="1" s="1"/>
  <c r="BD98" i="1"/>
  <c r="BE98" i="1" s="1"/>
  <c r="BF98" i="1" s="1"/>
  <c r="BG98" i="1" s="1"/>
  <c r="BD97" i="1"/>
  <c r="BE97" i="1" s="1"/>
  <c r="BF97" i="1" s="1"/>
  <c r="BG97" i="1" s="1"/>
  <c r="BD95" i="1"/>
  <c r="BE95" i="1" s="1"/>
  <c r="BF95" i="1" s="1"/>
  <c r="BG95" i="1" s="1"/>
  <c r="BD94" i="1"/>
  <c r="BE94" i="1" s="1"/>
  <c r="BF94" i="1" s="1"/>
  <c r="BG94" i="1" s="1"/>
  <c r="BD91" i="1"/>
  <c r="BE91" i="1" s="1"/>
  <c r="BE81" i="1"/>
  <c r="BD80" i="1"/>
  <c r="BE80" i="1" s="1"/>
  <c r="BD63" i="1"/>
  <c r="BE63" i="1" s="1"/>
  <c r="BD60" i="1"/>
  <c r="BE60" i="1" s="1"/>
  <c r="BD57" i="1"/>
  <c r="BE57" i="1" s="1"/>
  <c r="BD54" i="1"/>
  <c r="BE54" i="1" s="1"/>
  <c r="BD43" i="1"/>
  <c r="BE43" i="1" s="1"/>
  <c r="BD34" i="1"/>
  <c r="BE34" i="1" s="1"/>
  <c r="BD33" i="1"/>
  <c r="BD31" i="1"/>
  <c r="BD29" i="1"/>
  <c r="BE29" i="1" s="1"/>
  <c r="BD27" i="1"/>
  <c r="BE27" i="1" s="1"/>
  <c r="BD26" i="1"/>
  <c r="BD21" i="1"/>
  <c r="BE21" i="1" s="1"/>
  <c r="BD19" i="1"/>
  <c r="BE19" i="1" s="1"/>
  <c r="BD18" i="1"/>
  <c r="BE18" i="1" s="1"/>
  <c r="BD17" i="1"/>
  <c r="BE17" i="1" s="1"/>
  <c r="CG98" i="1" l="1"/>
  <c r="CE98" i="1"/>
  <c r="CA98" i="1"/>
  <c r="CC98" i="1"/>
  <c r="BW98" i="1"/>
  <c r="BY98" i="1"/>
  <c r="BU98" i="1"/>
  <c r="BS98" i="1"/>
  <c r="BQ98" i="1"/>
  <c r="BI98" i="1"/>
  <c r="BO98" i="1"/>
  <c r="BK98" i="1"/>
  <c r="BM98" i="1"/>
  <c r="CE106" i="1"/>
  <c r="CA106" i="1"/>
  <c r="CG106" i="1"/>
  <c r="CC106" i="1"/>
  <c r="BW106" i="1"/>
  <c r="BY106" i="1"/>
  <c r="BU106" i="1"/>
  <c r="BS106" i="1"/>
  <c r="BQ106" i="1"/>
  <c r="BI106" i="1"/>
  <c r="BM106" i="1"/>
  <c r="BO106" i="1"/>
  <c r="BK106" i="1"/>
  <c r="CG94" i="1"/>
  <c r="CE94" i="1"/>
  <c r="CA94" i="1"/>
  <c r="CC94" i="1"/>
  <c r="BW94" i="1"/>
  <c r="BY94" i="1"/>
  <c r="BU94" i="1"/>
  <c r="BS94" i="1"/>
  <c r="BQ94" i="1"/>
  <c r="BM94" i="1"/>
  <c r="BI94" i="1"/>
  <c r="BK94" i="1"/>
  <c r="BO94" i="1"/>
  <c r="CG107" i="1"/>
  <c r="CE107" i="1"/>
  <c r="CA107" i="1"/>
  <c r="CC107" i="1"/>
  <c r="BY107" i="1"/>
  <c r="BW107" i="1"/>
  <c r="BU107" i="1"/>
  <c r="BS107" i="1"/>
  <c r="BQ107" i="1"/>
  <c r="BO107" i="1"/>
  <c r="BK107" i="1"/>
  <c r="BI107" i="1"/>
  <c r="BM107" i="1"/>
  <c r="CG95" i="1"/>
  <c r="CE95" i="1"/>
  <c r="CA95" i="1"/>
  <c r="CC95" i="1"/>
  <c r="BY95" i="1"/>
  <c r="BW95" i="1"/>
  <c r="BU95" i="1"/>
  <c r="BS95" i="1"/>
  <c r="BQ95" i="1"/>
  <c r="BK95" i="1"/>
  <c r="BO95" i="1"/>
  <c r="BM95" i="1"/>
  <c r="BI95" i="1"/>
  <c r="CC100" i="1"/>
  <c r="CA100" i="1"/>
  <c r="CG100" i="1"/>
  <c r="CE100" i="1"/>
  <c r="BW100" i="1"/>
  <c r="BU100" i="1"/>
  <c r="BS100" i="1"/>
  <c r="BQ100" i="1"/>
  <c r="BY100" i="1"/>
  <c r="BO100" i="1"/>
  <c r="BK100" i="1"/>
  <c r="BM100" i="1"/>
  <c r="BI100" i="1"/>
  <c r="CG104" i="1"/>
  <c r="CC104" i="1"/>
  <c r="CE104" i="1"/>
  <c r="CA104" i="1"/>
  <c r="BW104" i="1"/>
  <c r="BU104" i="1"/>
  <c r="BY104" i="1"/>
  <c r="BS104" i="1"/>
  <c r="BQ104" i="1"/>
  <c r="BO104" i="1"/>
  <c r="BK104" i="1"/>
  <c r="BM104" i="1"/>
  <c r="BI104" i="1"/>
  <c r="CC96" i="1"/>
  <c r="CG96" i="1"/>
  <c r="CA96" i="1"/>
  <c r="BW96" i="1"/>
  <c r="BS96" i="1"/>
  <c r="BQ96" i="1"/>
  <c r="CE96" i="1"/>
  <c r="BY96" i="1"/>
  <c r="BO96" i="1"/>
  <c r="BU96" i="1"/>
  <c r="BM96" i="1"/>
  <c r="CG102" i="1"/>
  <c r="CE102" i="1"/>
  <c r="CA102" i="1"/>
  <c r="CC102" i="1"/>
  <c r="BW102" i="1"/>
  <c r="BY102" i="1"/>
  <c r="BU102" i="1"/>
  <c r="BS102" i="1"/>
  <c r="BQ102" i="1"/>
  <c r="BI102" i="1"/>
  <c r="BM102" i="1"/>
  <c r="BO102" i="1"/>
  <c r="BK102" i="1"/>
  <c r="CG103" i="1"/>
  <c r="CE103" i="1"/>
  <c r="CA103" i="1"/>
  <c r="CC103" i="1"/>
  <c r="BY103" i="1"/>
  <c r="BS103" i="1"/>
  <c r="BQ103" i="1"/>
  <c r="BW103" i="1"/>
  <c r="BU103" i="1"/>
  <c r="BI103" i="1"/>
  <c r="BO103" i="1"/>
  <c r="BK103" i="1"/>
  <c r="BM103" i="1"/>
  <c r="BF134" i="1"/>
  <c r="BG140" i="1"/>
  <c r="CG97" i="1"/>
  <c r="CE97" i="1"/>
  <c r="CA97" i="1"/>
  <c r="BW97" i="1"/>
  <c r="BU97" i="1"/>
  <c r="BY97" i="1"/>
  <c r="CC97" i="1"/>
  <c r="BS97" i="1"/>
  <c r="BM97" i="1"/>
  <c r="BO97" i="1"/>
  <c r="BK97" i="1"/>
  <c r="BQ97" i="1"/>
  <c r="BI97" i="1"/>
  <c r="CE101" i="1"/>
  <c r="BW101" i="1"/>
  <c r="BU101" i="1"/>
  <c r="CG101" i="1"/>
  <c r="CC101" i="1"/>
  <c r="BY101" i="1"/>
  <c r="CA101" i="1"/>
  <c r="BQ101" i="1"/>
  <c r="BM101" i="1"/>
  <c r="BI101" i="1"/>
  <c r="BO101" i="1"/>
  <c r="BS101" i="1"/>
  <c r="BK101" i="1"/>
  <c r="CG105" i="1"/>
  <c r="CE105" i="1"/>
  <c r="CC105" i="1"/>
  <c r="CA105" i="1"/>
  <c r="BW105" i="1"/>
  <c r="BU105" i="1"/>
  <c r="BY105" i="1"/>
  <c r="BM105" i="1"/>
  <c r="BO105" i="1"/>
  <c r="BI105" i="1"/>
  <c r="BQ105" i="1"/>
  <c r="BK105" i="1"/>
  <c r="BS105" i="1"/>
  <c r="BW32" i="1"/>
  <c r="CC32" i="1"/>
  <c r="BK32" i="1"/>
  <c r="CE32" i="1"/>
  <c r="CA32" i="1"/>
  <c r="BS32" i="1"/>
  <c r="BO32" i="1"/>
  <c r="BY32" i="1"/>
  <c r="BQ32" i="1"/>
  <c r="BU32" i="1"/>
  <c r="BM32" i="1"/>
  <c r="BI32" i="1"/>
  <c r="CG32" i="1"/>
  <c r="BF11" i="1"/>
  <c r="BF93" i="1"/>
  <c r="BD93" i="1"/>
  <c r="BE93" i="1" s="1"/>
  <c r="BE116" i="1"/>
  <c r="BE31" i="1"/>
  <c r="BD30" i="1"/>
  <c r="BE30" i="1" s="1"/>
  <c r="BE26" i="1"/>
  <c r="BE151" i="1"/>
  <c r="BE33" i="1"/>
  <c r="AY123" i="1"/>
  <c r="BF92" i="1" l="1"/>
  <c r="BG93" i="1"/>
  <c r="CE140" i="1"/>
  <c r="CC140" i="1"/>
  <c r="CG140" i="1"/>
  <c r="CA140" i="1"/>
  <c r="BW140" i="1"/>
  <c r="BU140" i="1"/>
  <c r="BS140" i="1"/>
  <c r="BQ140" i="1"/>
  <c r="BY140" i="1"/>
  <c r="BO140" i="1"/>
  <c r="BM140" i="1"/>
  <c r="BK140" i="1"/>
  <c r="BI140" i="1"/>
  <c r="BF133" i="1"/>
  <c r="BG134" i="1"/>
  <c r="D7" i="3"/>
  <c r="BG11" i="1"/>
  <c r="C6" i="3"/>
  <c r="B10" i="3"/>
  <c r="BF10" i="1"/>
  <c r="F15" i="3"/>
  <c r="H15" i="3" s="1"/>
  <c r="AY137" i="1"/>
  <c r="AZ137" i="1" s="1"/>
  <c r="AY141" i="1"/>
  <c r="AY135" i="1"/>
  <c r="AZ135" i="1" s="1"/>
  <c r="AY136" i="1"/>
  <c r="AY142" i="1"/>
  <c r="AZ142" i="1" s="1"/>
  <c r="AY118" i="1"/>
  <c r="AZ118" i="1" s="1"/>
  <c r="AY117" i="1"/>
  <c r="AZ117" i="1" s="1"/>
  <c r="AY57" i="1"/>
  <c r="AY62" i="1"/>
  <c r="BD62" i="1" s="1"/>
  <c r="BE62" i="1" s="1"/>
  <c r="AY64" i="1"/>
  <c r="AY61" i="1"/>
  <c r="AY54" i="1"/>
  <c r="AZ54" i="1" s="1"/>
  <c r="AY67" i="1"/>
  <c r="BA67" i="1" s="1"/>
  <c r="BC67" i="1" s="1"/>
  <c r="AY90" i="1"/>
  <c r="AY83" i="1" s="1"/>
  <c r="AY82" i="1"/>
  <c r="AY31" i="1"/>
  <c r="AY15" i="1" s="1"/>
  <c r="AY10" i="1" s="1"/>
  <c r="AY26" i="1"/>
  <c r="AY27" i="1"/>
  <c r="AZ27" i="1" s="1"/>
  <c r="AY35" i="1"/>
  <c r="AY32" i="1" s="1"/>
  <c r="BA160" i="1"/>
  <c r="BC160" i="1" s="1"/>
  <c r="BA159" i="1"/>
  <c r="BC159" i="1" s="1"/>
  <c r="BA157" i="1"/>
  <c r="BC157" i="1" s="1"/>
  <c r="BA155" i="1"/>
  <c r="BC155" i="1" s="1"/>
  <c r="BA154" i="1"/>
  <c r="BC154" i="1" s="1"/>
  <c r="BA153" i="1"/>
  <c r="BC153" i="1" s="1"/>
  <c r="BA152" i="1"/>
  <c r="BC152" i="1" s="1"/>
  <c r="BA151" i="1"/>
  <c r="BC151" i="1" s="1"/>
  <c r="BA148" i="1"/>
  <c r="BC148" i="1" s="1"/>
  <c r="BA147" i="1"/>
  <c r="BC147" i="1" s="1"/>
  <c r="BA146" i="1"/>
  <c r="BC146" i="1" s="1"/>
  <c r="BA145" i="1"/>
  <c r="BC145" i="1" s="1"/>
  <c r="BA144" i="1"/>
  <c r="BC144" i="1" s="1"/>
  <c r="BA143" i="1"/>
  <c r="BC143" i="1" s="1"/>
  <c r="BA140" i="1"/>
  <c r="BC140" i="1" s="1"/>
  <c r="BA139" i="1"/>
  <c r="BA138" i="1"/>
  <c r="BC138" i="1" s="1"/>
  <c r="BA132" i="1"/>
  <c r="BC132" i="1" s="1"/>
  <c r="BA131" i="1"/>
  <c r="BC131" i="1" s="1"/>
  <c r="BA129" i="1"/>
  <c r="BC129" i="1" s="1"/>
  <c r="BA128" i="1"/>
  <c r="BC128" i="1" s="1"/>
  <c r="BA127" i="1"/>
  <c r="BC127" i="1" s="1"/>
  <c r="BA126" i="1"/>
  <c r="BC126" i="1" s="1"/>
  <c r="BA125" i="1"/>
  <c r="BC125" i="1" s="1"/>
  <c r="BA124" i="1"/>
  <c r="BC124" i="1" s="1"/>
  <c r="BA122" i="1"/>
  <c r="BC122" i="1" s="1"/>
  <c r="BA120" i="1"/>
  <c r="BC120" i="1" s="1"/>
  <c r="BA119" i="1"/>
  <c r="BC119" i="1" s="1"/>
  <c r="BA116" i="1"/>
  <c r="BC116" i="1" s="1"/>
  <c r="BA112" i="1"/>
  <c r="BC112" i="1" s="1"/>
  <c r="BA111" i="1"/>
  <c r="BC111" i="1" s="1"/>
  <c r="BD111" i="1" s="1"/>
  <c r="BE111" i="1" s="1"/>
  <c r="BF111" i="1" s="1"/>
  <c r="BG111" i="1" s="1"/>
  <c r="BA110" i="1"/>
  <c r="BC110" i="1" s="1"/>
  <c r="BA109" i="1"/>
  <c r="BC109" i="1" s="1"/>
  <c r="BA107" i="1"/>
  <c r="BC107" i="1" s="1"/>
  <c r="BA105" i="1"/>
  <c r="BC105" i="1" s="1"/>
  <c r="BA104" i="1"/>
  <c r="BC104" i="1" s="1"/>
  <c r="BA103" i="1"/>
  <c r="BC103" i="1" s="1"/>
  <c r="BA101" i="1"/>
  <c r="BC101" i="1" s="1"/>
  <c r="BA100" i="1"/>
  <c r="BC100" i="1" s="1"/>
  <c r="BA99" i="1"/>
  <c r="BC99" i="1" s="1"/>
  <c r="BA98" i="1"/>
  <c r="BC98" i="1" s="1"/>
  <c r="BA97" i="1"/>
  <c r="BC97" i="1" s="1"/>
  <c r="BA96" i="1"/>
  <c r="BC96" i="1" s="1"/>
  <c r="BA95" i="1"/>
  <c r="BC95" i="1" s="1"/>
  <c r="BA94" i="1"/>
  <c r="BC94" i="1" s="1"/>
  <c r="BA91" i="1"/>
  <c r="BC91" i="1" s="1"/>
  <c r="BA89" i="1"/>
  <c r="BC89" i="1" s="1"/>
  <c r="BA85" i="1"/>
  <c r="BC85" i="1" s="1"/>
  <c r="BA84" i="1"/>
  <c r="BC84" i="1" s="1"/>
  <c r="BA79" i="1"/>
  <c r="BC79" i="1" s="1"/>
  <c r="BA78" i="1"/>
  <c r="BC78" i="1" s="1"/>
  <c r="BD78" i="1" s="1"/>
  <c r="BE78" i="1" s="1"/>
  <c r="BA77" i="1"/>
  <c r="BC77" i="1" s="1"/>
  <c r="BA75" i="1"/>
  <c r="BC75" i="1" s="1"/>
  <c r="BD75" i="1" s="1"/>
  <c r="BE75" i="1" s="1"/>
  <c r="BA71" i="1"/>
  <c r="BC71" i="1" s="1"/>
  <c r="BA70" i="1"/>
  <c r="BC70" i="1" s="1"/>
  <c r="BA69" i="1"/>
  <c r="BC69" i="1" s="1"/>
  <c r="BA65" i="1"/>
  <c r="BC65" i="1" s="1"/>
  <c r="BA63" i="1"/>
  <c r="BC63" i="1" s="1"/>
  <c r="BA60" i="1"/>
  <c r="BC60" i="1" s="1"/>
  <c r="BA58" i="1"/>
  <c r="BC58" i="1" s="1"/>
  <c r="BA56" i="1"/>
  <c r="BC56" i="1" s="1"/>
  <c r="BA55" i="1"/>
  <c r="BC55" i="1" s="1"/>
  <c r="BA43" i="1"/>
  <c r="BC43" i="1" s="1"/>
  <c r="BA41" i="1"/>
  <c r="BC41" i="1" s="1"/>
  <c r="BA40" i="1"/>
  <c r="BC40" i="1" s="1"/>
  <c r="BA38" i="1"/>
  <c r="BA34" i="1"/>
  <c r="BC34" i="1" s="1"/>
  <c r="BA36" i="1"/>
  <c r="BC36" i="1" s="1"/>
  <c r="BA14" i="1"/>
  <c r="BC14" i="1" s="1"/>
  <c r="BA33" i="1"/>
  <c r="BC33" i="1" s="1"/>
  <c r="BA42" i="1"/>
  <c r="BC42" i="1" s="1"/>
  <c r="BD42" i="1" s="1"/>
  <c r="BA29" i="1"/>
  <c r="BC29" i="1" s="1"/>
  <c r="BA23" i="1"/>
  <c r="BC23" i="1" s="1"/>
  <c r="BA22" i="1"/>
  <c r="BC22" i="1" s="1"/>
  <c r="BA48" i="1"/>
  <c r="BC48" i="1" s="1"/>
  <c r="BA47" i="1"/>
  <c r="BC47" i="1" s="1"/>
  <c r="BA46" i="1"/>
  <c r="BC46" i="1" s="1"/>
  <c r="BA45" i="1"/>
  <c r="BC45" i="1" s="1"/>
  <c r="BA21" i="1"/>
  <c r="BC21" i="1" s="1"/>
  <c r="BA20" i="1"/>
  <c r="BC20" i="1" s="1"/>
  <c r="BA19" i="1"/>
  <c r="BC19" i="1" s="1"/>
  <c r="BA18" i="1"/>
  <c r="BC18" i="1" s="1"/>
  <c r="BA24" i="1"/>
  <c r="BC24" i="1" s="1"/>
  <c r="BA17" i="1"/>
  <c r="BC17" i="1" s="1"/>
  <c r="BA13" i="1"/>
  <c r="BC13" i="1" s="1"/>
  <c r="BA12" i="1"/>
  <c r="BC12" i="1" s="1"/>
  <c r="AZ159" i="1"/>
  <c r="AZ155" i="1"/>
  <c r="AZ153" i="1"/>
  <c r="AZ152" i="1"/>
  <c r="AZ151" i="1"/>
  <c r="AY150" i="1"/>
  <c r="AZ148" i="1"/>
  <c r="AZ146" i="1"/>
  <c r="AZ145" i="1"/>
  <c r="AZ144" i="1"/>
  <c r="AZ140" i="1"/>
  <c r="AZ139" i="1"/>
  <c r="AZ138" i="1"/>
  <c r="AZ131" i="1"/>
  <c r="AZ130" i="1"/>
  <c r="AZ122" i="1"/>
  <c r="AZ121" i="1"/>
  <c r="AZ120" i="1"/>
  <c r="AZ119" i="1"/>
  <c r="AZ116" i="1"/>
  <c r="AZ110" i="1"/>
  <c r="AY108" i="1"/>
  <c r="AZ107" i="1"/>
  <c r="AZ106" i="1"/>
  <c r="AZ105" i="1"/>
  <c r="AZ104" i="1"/>
  <c r="AZ103" i="1"/>
  <c r="AZ102" i="1"/>
  <c r="AZ101" i="1"/>
  <c r="AZ100" i="1"/>
  <c r="AZ99" i="1"/>
  <c r="AZ98" i="1"/>
  <c r="AZ97" i="1"/>
  <c r="AZ96" i="1"/>
  <c r="AZ95" i="1"/>
  <c r="AZ94" i="1"/>
  <c r="AY93" i="1"/>
  <c r="AZ91" i="1"/>
  <c r="AZ81" i="1"/>
  <c r="AZ80" i="1"/>
  <c r="AY68" i="1"/>
  <c r="AZ63" i="1"/>
  <c r="AZ60" i="1"/>
  <c r="AZ59" i="1"/>
  <c r="AZ57" i="1"/>
  <c r="AZ43" i="1"/>
  <c r="AZ40" i="1"/>
  <c r="AY37" i="1"/>
  <c r="AZ34" i="1"/>
  <c r="AZ36" i="1"/>
  <c r="AZ33" i="1"/>
  <c r="AZ42" i="1"/>
  <c r="AZ29" i="1"/>
  <c r="AZ21" i="1"/>
  <c r="AZ17" i="1"/>
  <c r="CC111" i="1" l="1"/>
  <c r="CA111" i="1"/>
  <c r="CG111" i="1"/>
  <c r="BY111" i="1"/>
  <c r="BW111" i="1"/>
  <c r="BS111" i="1"/>
  <c r="BQ111" i="1"/>
  <c r="BU111" i="1"/>
  <c r="BO111" i="1"/>
  <c r="BI111" i="1"/>
  <c r="CE111" i="1"/>
  <c r="BM111" i="1"/>
  <c r="BK111" i="1"/>
  <c r="AY66" i="1"/>
  <c r="F14" i="3"/>
  <c r="H14" i="3" s="1"/>
  <c r="BG133" i="1"/>
  <c r="BK93" i="1"/>
  <c r="CA93" i="1"/>
  <c r="BS93" i="1"/>
  <c r="BM93" i="1"/>
  <c r="BQ93" i="1"/>
  <c r="BW93" i="1"/>
  <c r="CC93" i="1"/>
  <c r="CE93" i="1"/>
  <c r="CG93" i="1"/>
  <c r="BY93" i="1"/>
  <c r="BI93" i="1"/>
  <c r="BU93" i="1"/>
  <c r="BO93" i="1"/>
  <c r="CE134" i="1"/>
  <c r="CC134" i="1"/>
  <c r="CA134" i="1"/>
  <c r="BU134" i="1"/>
  <c r="BS134" i="1"/>
  <c r="BK134" i="1"/>
  <c r="CG134" i="1"/>
  <c r="BO134" i="1"/>
  <c r="BM134" i="1"/>
  <c r="BY134" i="1"/>
  <c r="BW134" i="1"/>
  <c r="BQ134" i="1"/>
  <c r="BI134" i="1"/>
  <c r="BG92" i="1"/>
  <c r="CC11" i="1"/>
  <c r="BQ11" i="1"/>
  <c r="BM11" i="1"/>
  <c r="CG11" i="1"/>
  <c r="BU11" i="1"/>
  <c r="BW11" i="1"/>
  <c r="BK11" i="1"/>
  <c r="BY11" i="1"/>
  <c r="CE11" i="1"/>
  <c r="BO11" i="1"/>
  <c r="BI11" i="1"/>
  <c r="CA11" i="1"/>
  <c r="BS11" i="1"/>
  <c r="BF8" i="1"/>
  <c r="BF6" i="1" s="1"/>
  <c r="BG10" i="1"/>
  <c r="BG6" i="1"/>
  <c r="AY30" i="1"/>
  <c r="C21" i="3"/>
  <c r="C24" i="3" s="1"/>
  <c r="C4" i="3"/>
  <c r="BC38" i="1"/>
  <c r="BA37" i="1"/>
  <c r="AY134" i="1"/>
  <c r="AY133" i="1" s="1"/>
  <c r="AY53" i="1"/>
  <c r="BE42" i="1"/>
  <c r="BD139" i="1"/>
  <c r="BE139" i="1" s="1"/>
  <c r="BC139" i="1"/>
  <c r="AY115" i="1"/>
  <c r="AY114" i="1" s="1"/>
  <c r="AY149" i="1"/>
  <c r="AY92" i="1"/>
  <c r="AZ26" i="1"/>
  <c r="AY25" i="1" s="1"/>
  <c r="AY76" i="1"/>
  <c r="AY156" i="1"/>
  <c r="AZ31" i="1"/>
  <c r="AW158" i="1"/>
  <c r="AW137" i="1"/>
  <c r="AW141" i="1"/>
  <c r="AW118" i="1"/>
  <c r="AW123" i="1"/>
  <c r="AW57" i="1"/>
  <c r="AW62" i="1"/>
  <c r="AW64" i="1"/>
  <c r="AW61" i="1"/>
  <c r="AW82" i="1"/>
  <c r="AW86" i="1"/>
  <c r="BA86" i="1" s="1"/>
  <c r="BC86" i="1" s="1"/>
  <c r="CA133" i="1" l="1"/>
  <c r="BM133" i="1"/>
  <c r="BU133" i="1"/>
  <c r="BQ133" i="1"/>
  <c r="BY133" i="1"/>
  <c r="CC133" i="1"/>
  <c r="BO133" i="1"/>
  <c r="BW133" i="1"/>
  <c r="CE133" i="1"/>
  <c r="BK133" i="1"/>
  <c r="BS133" i="1"/>
  <c r="CG133" i="1"/>
  <c r="BI133" i="1"/>
  <c r="BW92" i="1"/>
  <c r="CE92" i="1"/>
  <c r="CA92" i="1"/>
  <c r="BM92" i="1"/>
  <c r="BS92" i="1"/>
  <c r="BO92" i="1"/>
  <c r="BQ92" i="1"/>
  <c r="BI92" i="1"/>
  <c r="CG92" i="1"/>
  <c r="BY92" i="1"/>
  <c r="BU92" i="1"/>
  <c r="CC92" i="1"/>
  <c r="BK92" i="1"/>
  <c r="BI6" i="1"/>
  <c r="CC6" i="1"/>
  <c r="BK6" i="1"/>
  <c r="BM6" i="1"/>
  <c r="BW6" i="1"/>
  <c r="BQ6" i="1"/>
  <c r="BU6" i="1"/>
  <c r="CG6" i="1"/>
  <c r="BS6" i="1"/>
  <c r="CE6" i="1"/>
  <c r="CA6" i="1"/>
  <c r="BO6" i="1"/>
  <c r="BY6" i="1"/>
  <c r="BQ10" i="1"/>
  <c r="BK10" i="1"/>
  <c r="BW10" i="1"/>
  <c r="BU10" i="1"/>
  <c r="CC10" i="1"/>
  <c r="BM10" i="1"/>
  <c r="CG10" i="1"/>
  <c r="CE10" i="1"/>
  <c r="BY10" i="1"/>
  <c r="BO10" i="1"/>
  <c r="CA10" i="1"/>
  <c r="BI10" i="1"/>
  <c r="BS10" i="1"/>
  <c r="BG8" i="1"/>
  <c r="AY52" i="1"/>
  <c r="AY50" i="1" s="1"/>
  <c r="AY8" i="1"/>
  <c r="AY6" i="1"/>
  <c r="AW31" i="1"/>
  <c r="AX31" i="1" s="1"/>
  <c r="AW27" i="1"/>
  <c r="AW26" i="1"/>
  <c r="AX26" i="1" s="1"/>
  <c r="AX159" i="1"/>
  <c r="AX155" i="1"/>
  <c r="AX153" i="1"/>
  <c r="AX152" i="1"/>
  <c r="AX151" i="1"/>
  <c r="AW150" i="1"/>
  <c r="AW149" i="1" s="1"/>
  <c r="AX148" i="1"/>
  <c r="AX146" i="1"/>
  <c r="AX145" i="1"/>
  <c r="AX144" i="1"/>
  <c r="AX142" i="1"/>
  <c r="AX140" i="1"/>
  <c r="AX139" i="1"/>
  <c r="AX138" i="1"/>
  <c r="AX137" i="1"/>
  <c r="AX135" i="1"/>
  <c r="AW134" i="1"/>
  <c r="AX131" i="1"/>
  <c r="AX130" i="1"/>
  <c r="AW115" i="1"/>
  <c r="AX122" i="1"/>
  <c r="AX121" i="1"/>
  <c r="AX120" i="1"/>
  <c r="AX119" i="1"/>
  <c r="AX118" i="1"/>
  <c r="AX117" i="1"/>
  <c r="AX116" i="1"/>
  <c r="AX110" i="1"/>
  <c r="AW108" i="1"/>
  <c r="AX107" i="1"/>
  <c r="AX106" i="1"/>
  <c r="AX105" i="1"/>
  <c r="AX104" i="1"/>
  <c r="AX103" i="1"/>
  <c r="AX102" i="1"/>
  <c r="AX101" i="1"/>
  <c r="AX100" i="1"/>
  <c r="AX99" i="1"/>
  <c r="AX98" i="1"/>
  <c r="AX97" i="1"/>
  <c r="AX96" i="1"/>
  <c r="AX95" i="1"/>
  <c r="AX94" i="1"/>
  <c r="AW93" i="1"/>
  <c r="AX91" i="1"/>
  <c r="AW83" i="1"/>
  <c r="AX81" i="1"/>
  <c r="AX80" i="1"/>
  <c r="AW68" i="1"/>
  <c r="AW66" i="1"/>
  <c r="AX63" i="1"/>
  <c r="AX60" i="1"/>
  <c r="AX59" i="1"/>
  <c r="AX57" i="1"/>
  <c r="AX54" i="1"/>
  <c r="AX43" i="1"/>
  <c r="AX40" i="1"/>
  <c r="AW37" i="1"/>
  <c r="AX34" i="1"/>
  <c r="AX36" i="1"/>
  <c r="AX33" i="1"/>
  <c r="AW32" i="1"/>
  <c r="AX42" i="1"/>
  <c r="AX29" i="1"/>
  <c r="AX27" i="1"/>
  <c r="AX21" i="1"/>
  <c r="AX17" i="1"/>
  <c r="BI8" i="1" l="1"/>
  <c r="CC8" i="1"/>
  <c r="BU8" i="1"/>
  <c r="BQ8" i="1"/>
  <c r="BM8" i="1"/>
  <c r="BW8" i="1"/>
  <c r="BK8" i="1"/>
  <c r="CG8" i="1"/>
  <c r="CE8" i="1"/>
  <c r="BY8" i="1"/>
  <c r="BO8" i="1"/>
  <c r="CA8" i="1"/>
  <c r="BS8" i="1"/>
  <c r="AW30" i="1"/>
  <c r="AW25" i="1" s="1"/>
  <c r="AW92" i="1"/>
  <c r="AW133" i="1"/>
  <c r="AW114" i="1"/>
  <c r="AW53" i="1"/>
  <c r="AW76" i="1"/>
  <c r="AW156" i="1"/>
  <c r="AW15" i="1"/>
  <c r="AW10" i="1" s="1"/>
  <c r="AU158" i="1"/>
  <c r="AU137" i="1"/>
  <c r="AU141" i="1"/>
  <c r="AU135" i="1"/>
  <c r="AU118" i="1"/>
  <c r="AU123" i="1"/>
  <c r="AU57" i="1"/>
  <c r="AU62" i="1"/>
  <c r="AU64" i="1"/>
  <c r="AU61" i="1"/>
  <c r="AU59" i="1"/>
  <c r="AU54" i="1"/>
  <c r="AU73" i="1"/>
  <c r="AU82" i="1"/>
  <c r="AW52" i="1" l="1"/>
  <c r="AU31" i="1"/>
  <c r="AU30" i="1" s="1"/>
  <c r="AV159" i="1"/>
  <c r="AU156" i="1"/>
  <c r="AV155" i="1"/>
  <c r="AV153" i="1"/>
  <c r="AV152" i="1"/>
  <c r="AV151" i="1"/>
  <c r="AU150" i="1"/>
  <c r="AU149" i="1" s="1"/>
  <c r="AV148" i="1"/>
  <c r="AV146" i="1"/>
  <c r="AV145" i="1"/>
  <c r="AV144" i="1"/>
  <c r="AV142" i="1"/>
  <c r="AV140" i="1"/>
  <c r="AV139" i="1"/>
  <c r="AV138" i="1"/>
  <c r="AV137" i="1"/>
  <c r="AV135" i="1"/>
  <c r="AU134" i="1"/>
  <c r="AU133" i="1" s="1"/>
  <c r="AV131" i="1"/>
  <c r="AV130" i="1"/>
  <c r="AV122" i="1"/>
  <c r="AV121" i="1"/>
  <c r="AV120" i="1"/>
  <c r="AV119" i="1"/>
  <c r="AV118" i="1"/>
  <c r="AV117" i="1"/>
  <c r="AV116" i="1"/>
  <c r="AU115" i="1"/>
  <c r="AU114" i="1" s="1"/>
  <c r="AV110" i="1"/>
  <c r="AU108" i="1"/>
  <c r="AV107" i="1"/>
  <c r="AV106" i="1"/>
  <c r="AV105" i="1"/>
  <c r="AV104" i="1"/>
  <c r="AV103" i="1"/>
  <c r="AV102" i="1"/>
  <c r="AV101" i="1"/>
  <c r="AV100" i="1"/>
  <c r="AV99" i="1"/>
  <c r="AV98" i="1"/>
  <c r="AV97" i="1"/>
  <c r="AV96" i="1"/>
  <c r="AV95" i="1"/>
  <c r="AV94" i="1"/>
  <c r="AU93" i="1"/>
  <c r="AV91" i="1"/>
  <c r="AU83" i="1"/>
  <c r="AV81" i="1"/>
  <c r="AV80" i="1"/>
  <c r="AU76" i="1"/>
  <c r="AU68" i="1"/>
  <c r="AU66" i="1"/>
  <c r="AV63" i="1"/>
  <c r="AV60" i="1"/>
  <c r="AV59" i="1"/>
  <c r="AV57" i="1"/>
  <c r="AV54" i="1"/>
  <c r="AV43" i="1"/>
  <c r="AV40" i="1"/>
  <c r="AU37" i="1"/>
  <c r="AV34" i="1"/>
  <c r="AV36" i="1"/>
  <c r="AV33" i="1"/>
  <c r="AU32" i="1"/>
  <c r="AU25" i="1" s="1"/>
  <c r="AV31" i="1"/>
  <c r="AV42" i="1"/>
  <c r="AV29" i="1"/>
  <c r="AV27" i="1"/>
  <c r="AV26" i="1"/>
  <c r="AV21" i="1"/>
  <c r="AV17" i="1"/>
  <c r="AU15" i="1" l="1"/>
  <c r="AW50" i="1"/>
  <c r="AW6" i="1"/>
  <c r="AW8" i="1"/>
  <c r="AU92" i="1"/>
  <c r="AU53" i="1"/>
  <c r="AS137" i="1"/>
  <c r="AS141" i="1"/>
  <c r="AS118" i="1"/>
  <c r="AT118" i="1" s="1"/>
  <c r="AS123" i="1"/>
  <c r="AS57" i="1"/>
  <c r="AT57" i="1" s="1"/>
  <c r="AS62" i="1"/>
  <c r="AS64" i="1"/>
  <c r="AS61" i="1"/>
  <c r="AS90" i="1"/>
  <c r="BA90" i="1" s="1"/>
  <c r="BC90" i="1" s="1"/>
  <c r="AS74" i="1"/>
  <c r="AS68" i="1" s="1"/>
  <c r="AS82" i="1"/>
  <c r="AS31" i="1"/>
  <c r="AT31" i="1" s="1"/>
  <c r="AT159" i="1"/>
  <c r="AS156" i="1"/>
  <c r="AT155" i="1"/>
  <c r="AT153" i="1"/>
  <c r="AT152" i="1"/>
  <c r="AT151" i="1"/>
  <c r="AS150" i="1"/>
  <c r="AS149" i="1" s="1"/>
  <c r="AT148" i="1"/>
  <c r="AT146" i="1"/>
  <c r="AT145" i="1"/>
  <c r="AT144" i="1"/>
  <c r="AT142" i="1"/>
  <c r="AT140" i="1"/>
  <c r="AT139" i="1"/>
  <c r="AT138" i="1"/>
  <c r="AT135" i="1"/>
  <c r="AT131" i="1"/>
  <c r="AT130" i="1"/>
  <c r="AT122" i="1"/>
  <c r="AT121" i="1"/>
  <c r="AT120" i="1"/>
  <c r="AT119" i="1"/>
  <c r="AT117" i="1"/>
  <c r="AT116" i="1"/>
  <c r="AT110" i="1"/>
  <c r="AS108" i="1"/>
  <c r="AT107" i="1"/>
  <c r="AT106" i="1"/>
  <c r="AT105" i="1"/>
  <c r="AT104" i="1"/>
  <c r="AT103" i="1"/>
  <c r="AT102" i="1"/>
  <c r="AT101" i="1"/>
  <c r="AT100" i="1"/>
  <c r="AT99" i="1"/>
  <c r="AT98" i="1"/>
  <c r="AT97" i="1"/>
  <c r="AT96" i="1"/>
  <c r="AT95" i="1"/>
  <c r="AT94" i="1"/>
  <c r="AS93" i="1"/>
  <c r="AT91" i="1"/>
  <c r="AT81" i="1"/>
  <c r="AT80" i="1"/>
  <c r="AS66" i="1"/>
  <c r="AT63" i="1"/>
  <c r="AT60" i="1"/>
  <c r="AT59" i="1"/>
  <c r="AT54" i="1"/>
  <c r="AT43" i="1"/>
  <c r="AT40" i="1"/>
  <c r="AS37" i="1"/>
  <c r="AT34" i="1"/>
  <c r="AT36" i="1"/>
  <c r="AT33" i="1"/>
  <c r="AS32" i="1"/>
  <c r="AT42" i="1"/>
  <c r="AT29" i="1"/>
  <c r="AT27" i="1"/>
  <c r="AT26" i="1"/>
  <c r="AT21" i="1"/>
  <c r="AT17" i="1"/>
  <c r="AU10" i="1" l="1"/>
  <c r="AS134" i="1"/>
  <c r="AS133" i="1" s="1"/>
  <c r="AS115" i="1"/>
  <c r="AS114" i="1" s="1"/>
  <c r="AT137" i="1"/>
  <c r="AS83" i="1"/>
  <c r="AS53" i="1"/>
  <c r="AU52" i="1"/>
  <c r="AS30" i="1"/>
  <c r="AS25" i="1" s="1"/>
  <c r="AS92" i="1"/>
  <c r="AS76" i="1"/>
  <c r="AS15" i="1"/>
  <c r="AS10" i="1" s="1"/>
  <c r="AQ137" i="1"/>
  <c r="AR137" i="1" s="1"/>
  <c r="AQ141" i="1"/>
  <c r="AQ135" i="1"/>
  <c r="BA135" i="1" s="1"/>
  <c r="BC135" i="1" s="1"/>
  <c r="AQ118" i="1"/>
  <c r="AR118" i="1" s="1"/>
  <c r="AQ123" i="1"/>
  <c r="AQ117" i="1"/>
  <c r="AR117" i="1" s="1"/>
  <c r="AQ130" i="1"/>
  <c r="AQ57" i="1"/>
  <c r="AR57" i="1" s="1"/>
  <c r="AQ62" i="1"/>
  <c r="AQ64" i="1"/>
  <c r="AQ61" i="1"/>
  <c r="AQ59" i="1"/>
  <c r="AR59" i="1" s="1"/>
  <c r="AQ54" i="1"/>
  <c r="AR54" i="1" s="1"/>
  <c r="AQ72" i="1"/>
  <c r="AQ68" i="1" s="1"/>
  <c r="AQ82" i="1"/>
  <c r="AQ76" i="1" s="1"/>
  <c r="AQ31" i="1"/>
  <c r="AQ15" i="1" s="1"/>
  <c r="AQ10" i="1" s="1"/>
  <c r="AR159" i="1"/>
  <c r="AR155" i="1"/>
  <c r="AR153" i="1"/>
  <c r="AR152" i="1"/>
  <c r="AR151" i="1"/>
  <c r="AQ150" i="1"/>
  <c r="AR148" i="1"/>
  <c r="AR146" i="1"/>
  <c r="AR145" i="1"/>
  <c r="AR144" i="1"/>
  <c r="AR142" i="1"/>
  <c r="AR140" i="1"/>
  <c r="AR139" i="1"/>
  <c r="AR138" i="1"/>
  <c r="AR131" i="1"/>
  <c r="AR130" i="1"/>
  <c r="AR122" i="1"/>
  <c r="AR121" i="1"/>
  <c r="AR120" i="1"/>
  <c r="AR119" i="1"/>
  <c r="AR116" i="1"/>
  <c r="AR110" i="1"/>
  <c r="AQ108" i="1"/>
  <c r="AR107" i="1"/>
  <c r="AR106" i="1"/>
  <c r="AR105" i="1"/>
  <c r="AR104" i="1"/>
  <c r="AR103" i="1"/>
  <c r="AR102" i="1"/>
  <c r="AR101" i="1"/>
  <c r="AR100" i="1"/>
  <c r="AR99" i="1"/>
  <c r="AR98" i="1"/>
  <c r="AR97" i="1"/>
  <c r="AR96" i="1"/>
  <c r="AR95" i="1"/>
  <c r="AR94" i="1"/>
  <c r="AQ93" i="1"/>
  <c r="AR91" i="1"/>
  <c r="AQ83" i="1"/>
  <c r="AR81" i="1"/>
  <c r="AR80" i="1"/>
  <c r="AQ66" i="1"/>
  <c r="AR63" i="1"/>
  <c r="AR60" i="1"/>
  <c r="AR43" i="1"/>
  <c r="AR40" i="1"/>
  <c r="AQ37" i="1"/>
  <c r="AR34" i="1"/>
  <c r="AR36" i="1"/>
  <c r="AR33" i="1"/>
  <c r="AQ32" i="1"/>
  <c r="AR42" i="1"/>
  <c r="AR29" i="1"/>
  <c r="AR27" i="1"/>
  <c r="AR26" i="1"/>
  <c r="AR21" i="1"/>
  <c r="AR17" i="1"/>
  <c r="AU6" i="1" l="1"/>
  <c r="AU8" i="1"/>
  <c r="AQ30" i="1"/>
  <c r="AQ25" i="1" s="1"/>
  <c r="AR31" i="1"/>
  <c r="AR135" i="1"/>
  <c r="AU50" i="1"/>
  <c r="AS52" i="1"/>
  <c r="AQ92" i="1"/>
  <c r="AQ149" i="1"/>
  <c r="AQ53" i="1"/>
  <c r="AQ115" i="1"/>
  <c r="AQ134" i="1"/>
  <c r="AQ156" i="1"/>
  <c r="AO158" i="1"/>
  <c r="AO156" i="1" s="1"/>
  <c r="AO137" i="1"/>
  <c r="AP137" i="1" s="1"/>
  <c r="AO141" i="1"/>
  <c r="AO136" i="1"/>
  <c r="AO118" i="1"/>
  <c r="AP118" i="1" s="1"/>
  <c r="AO123" i="1"/>
  <c r="AO117" i="1"/>
  <c r="AP117" i="1" s="1"/>
  <c r="AO57" i="1"/>
  <c r="AO64" i="1"/>
  <c r="AO61" i="1"/>
  <c r="AO82" i="1"/>
  <c r="AO76" i="1" s="1"/>
  <c r="AO73" i="1"/>
  <c r="BA73" i="1" s="1"/>
  <c r="BC73" i="1" s="1"/>
  <c r="AO74" i="1"/>
  <c r="BA74" i="1" s="1"/>
  <c r="BC74" i="1" s="1"/>
  <c r="AO31" i="1"/>
  <c r="AP31" i="1" s="1"/>
  <c r="AP159" i="1"/>
  <c r="AP155" i="1"/>
  <c r="AP153" i="1"/>
  <c r="AP152" i="1"/>
  <c r="AP151" i="1"/>
  <c r="AO150" i="1"/>
  <c r="AO149" i="1" s="1"/>
  <c r="AP148" i="1"/>
  <c r="AP146" i="1"/>
  <c r="AP145" i="1"/>
  <c r="AP144" i="1"/>
  <c r="AP142" i="1"/>
  <c r="AP140" i="1"/>
  <c r="AP139" i="1"/>
  <c r="AP138" i="1"/>
  <c r="AP135" i="1"/>
  <c r="AP131" i="1"/>
  <c r="AP130" i="1"/>
  <c r="AP122" i="1"/>
  <c r="AP121" i="1"/>
  <c r="AP120" i="1"/>
  <c r="AP119" i="1"/>
  <c r="AP116" i="1"/>
  <c r="AP110" i="1"/>
  <c r="AO108" i="1"/>
  <c r="AP107" i="1"/>
  <c r="AP106" i="1"/>
  <c r="AP105" i="1"/>
  <c r="AP104" i="1"/>
  <c r="AP103" i="1"/>
  <c r="AP102" i="1"/>
  <c r="AP101" i="1"/>
  <c r="AP100" i="1"/>
  <c r="AP99" i="1"/>
  <c r="AP98" i="1"/>
  <c r="AP97" i="1"/>
  <c r="AP96" i="1"/>
  <c r="AP95" i="1"/>
  <c r="AP94" i="1"/>
  <c r="AO93" i="1"/>
  <c r="AP91" i="1"/>
  <c r="AO83" i="1"/>
  <c r="AP81" i="1"/>
  <c r="AP80" i="1"/>
  <c r="AO66" i="1"/>
  <c r="AP63" i="1"/>
  <c r="AP60" i="1"/>
  <c r="AP59" i="1"/>
  <c r="AP57" i="1"/>
  <c r="AP54" i="1"/>
  <c r="AP43" i="1"/>
  <c r="AP40" i="1"/>
  <c r="AO37" i="1"/>
  <c r="AP34" i="1"/>
  <c r="AP36" i="1"/>
  <c r="AP33" i="1"/>
  <c r="AO32" i="1"/>
  <c r="AP42" i="1"/>
  <c r="AP29" i="1"/>
  <c r="AP27" i="1"/>
  <c r="AO15" i="1"/>
  <c r="AO10" i="1" s="1"/>
  <c r="AP21" i="1"/>
  <c r="AP17" i="1"/>
  <c r="AO68" i="1" l="1"/>
  <c r="AO30" i="1"/>
  <c r="AO25" i="1" s="1"/>
  <c r="AO115" i="1"/>
  <c r="AO114" i="1" s="1"/>
  <c r="AS50" i="1"/>
  <c r="AS8" i="1"/>
  <c r="AS6" i="1"/>
  <c r="AQ133" i="1"/>
  <c r="AQ114" i="1"/>
  <c r="AQ52" i="1"/>
  <c r="AO92" i="1"/>
  <c r="AO134" i="1"/>
  <c r="AP26" i="1"/>
  <c r="AO53" i="1"/>
  <c r="AM137" i="1"/>
  <c r="AN137" i="1" s="1"/>
  <c r="AM141" i="1"/>
  <c r="AM136" i="1"/>
  <c r="AM142" i="1"/>
  <c r="AN142" i="1" s="1"/>
  <c r="AM118" i="1"/>
  <c r="AN118" i="1" s="1"/>
  <c r="AM123" i="1"/>
  <c r="AM130" i="1"/>
  <c r="AN130" i="1" s="1"/>
  <c r="AM57" i="1"/>
  <c r="AN57" i="1" s="1"/>
  <c r="AM80" i="1"/>
  <c r="BA80" i="1" s="1"/>
  <c r="BC80" i="1" s="1"/>
  <c r="AM62" i="1"/>
  <c r="AM64" i="1"/>
  <c r="BA64" i="1" s="1"/>
  <c r="BC64" i="1" s="1"/>
  <c r="AM61" i="1"/>
  <c r="AM59" i="1"/>
  <c r="AN59" i="1" s="1"/>
  <c r="AM87" i="1"/>
  <c r="AM72" i="1"/>
  <c r="AM68" i="1" s="1"/>
  <c r="AM82" i="1"/>
  <c r="AM31" i="1"/>
  <c r="AN31" i="1" s="1"/>
  <c r="AM26" i="1"/>
  <c r="AM27" i="1"/>
  <c r="AN27" i="1" s="1"/>
  <c r="AM35" i="1"/>
  <c r="AM32" i="1" s="1"/>
  <c r="AN159" i="1"/>
  <c r="AN155" i="1"/>
  <c r="AN153" i="1"/>
  <c r="AN152" i="1"/>
  <c r="AN151" i="1"/>
  <c r="AM150" i="1"/>
  <c r="AN148" i="1"/>
  <c r="AN146" i="1"/>
  <c r="AN145" i="1"/>
  <c r="AN144" i="1"/>
  <c r="AN140" i="1"/>
  <c r="AN139" i="1"/>
  <c r="AN138" i="1"/>
  <c r="AN135" i="1"/>
  <c r="AN131" i="1"/>
  <c r="AN122" i="1"/>
  <c r="AN121" i="1"/>
  <c r="AN120" i="1"/>
  <c r="AN119" i="1"/>
  <c r="AN117" i="1"/>
  <c r="AN116" i="1"/>
  <c r="AN110" i="1"/>
  <c r="AM108" i="1"/>
  <c r="AN107" i="1"/>
  <c r="AN106" i="1"/>
  <c r="AN105" i="1"/>
  <c r="AN104" i="1"/>
  <c r="AN103" i="1"/>
  <c r="AN102" i="1"/>
  <c r="AN101" i="1"/>
  <c r="AN100" i="1"/>
  <c r="AN99" i="1"/>
  <c r="AN98" i="1"/>
  <c r="AN97" i="1"/>
  <c r="AN96" i="1"/>
  <c r="AN95" i="1"/>
  <c r="AN94" i="1"/>
  <c r="AM93" i="1"/>
  <c r="AN91" i="1"/>
  <c r="AN81" i="1"/>
  <c r="AM66" i="1"/>
  <c r="AN63" i="1"/>
  <c r="AN60" i="1"/>
  <c r="AN54" i="1"/>
  <c r="AN43" i="1"/>
  <c r="AN40" i="1"/>
  <c r="AM37" i="1"/>
  <c r="AN34" i="1"/>
  <c r="AN36" i="1"/>
  <c r="AN33" i="1"/>
  <c r="AN42" i="1"/>
  <c r="AN29" i="1"/>
  <c r="AN21" i="1"/>
  <c r="AN17" i="1"/>
  <c r="AM76" i="1" l="1"/>
  <c r="AN80" i="1"/>
  <c r="AM30" i="1"/>
  <c r="AM25" i="1"/>
  <c r="AN26" i="1"/>
  <c r="AM53" i="1"/>
  <c r="AM134" i="1"/>
  <c r="AQ50" i="1"/>
  <c r="AQ6" i="1"/>
  <c r="AQ8" i="1"/>
  <c r="AO8" i="1"/>
  <c r="AO6" i="1"/>
  <c r="AO133" i="1"/>
  <c r="AO52" i="1"/>
  <c r="AM149" i="1"/>
  <c r="AM133" i="1"/>
  <c r="AM92" i="1"/>
  <c r="AM15" i="1"/>
  <c r="AM10" i="1" s="1"/>
  <c r="AM83" i="1"/>
  <c r="AM115" i="1"/>
  <c r="AM156" i="1"/>
  <c r="BB159" i="1"/>
  <c r="BB155" i="1"/>
  <c r="BB153" i="1"/>
  <c r="BB152" i="1"/>
  <c r="BB151" i="1"/>
  <c r="BB148" i="1"/>
  <c r="BB146" i="1"/>
  <c r="BB145" i="1"/>
  <c r="BB144" i="1"/>
  <c r="BB140" i="1"/>
  <c r="BB139" i="1"/>
  <c r="BB138" i="1"/>
  <c r="BB135" i="1"/>
  <c r="BB131" i="1"/>
  <c r="BB122" i="1"/>
  <c r="BB120" i="1"/>
  <c r="BB119" i="1"/>
  <c r="BB116" i="1"/>
  <c r="BB110" i="1"/>
  <c r="BB107" i="1"/>
  <c r="BB105" i="1"/>
  <c r="BB104" i="1"/>
  <c r="BB103" i="1"/>
  <c r="BB101" i="1"/>
  <c r="BB100" i="1"/>
  <c r="BB99" i="1"/>
  <c r="BB98" i="1"/>
  <c r="BB97" i="1"/>
  <c r="BB96" i="1"/>
  <c r="BB95" i="1"/>
  <c r="BB94" i="1"/>
  <c r="BB91" i="1"/>
  <c r="BB80" i="1"/>
  <c r="BB63" i="1"/>
  <c r="BB60" i="1"/>
  <c r="BB43" i="1"/>
  <c r="BB40" i="1"/>
  <c r="BB34" i="1"/>
  <c r="BB36" i="1"/>
  <c r="BB33" i="1"/>
  <c r="BB42" i="1"/>
  <c r="BB29" i="1"/>
  <c r="BB21" i="1"/>
  <c r="BB17" i="1"/>
  <c r="AO50" i="1" l="1"/>
  <c r="AM52" i="1"/>
  <c r="AM114" i="1"/>
  <c r="AI158" i="1"/>
  <c r="BA158" i="1" s="1"/>
  <c r="AI137" i="1"/>
  <c r="AI141" i="1"/>
  <c r="AI118" i="1"/>
  <c r="AI123" i="1"/>
  <c r="AI117" i="1"/>
  <c r="AI130" i="1"/>
  <c r="AI57" i="1"/>
  <c r="AI81" i="1"/>
  <c r="BA81" i="1" s="1"/>
  <c r="AI62" i="1"/>
  <c r="AI61" i="1"/>
  <c r="AI102" i="1"/>
  <c r="BA102" i="1" s="1"/>
  <c r="AI106" i="1"/>
  <c r="BA106" i="1" s="1"/>
  <c r="AI88" i="1"/>
  <c r="BA88" i="1" s="1"/>
  <c r="AI87" i="1"/>
  <c r="BA87" i="1" s="1"/>
  <c r="AI72" i="1"/>
  <c r="AI31" i="1"/>
  <c r="AI15" i="1" s="1"/>
  <c r="AI10" i="1" s="1"/>
  <c r="AI26" i="1"/>
  <c r="AI27" i="1"/>
  <c r="AI35" i="1"/>
  <c r="AL159" i="1"/>
  <c r="AK156" i="1"/>
  <c r="AL155" i="1"/>
  <c r="AL153" i="1"/>
  <c r="AL152" i="1"/>
  <c r="AL151" i="1"/>
  <c r="AK150" i="1"/>
  <c r="AK149" i="1" s="1"/>
  <c r="AL148" i="1"/>
  <c r="AL146" i="1"/>
  <c r="AL145" i="1"/>
  <c r="AL144" i="1"/>
  <c r="AL142" i="1"/>
  <c r="AL140" i="1"/>
  <c r="AL139" i="1"/>
  <c r="AL138" i="1"/>
  <c r="AL137" i="1"/>
  <c r="AL135" i="1"/>
  <c r="AK134" i="1"/>
  <c r="AK133" i="1" s="1"/>
  <c r="AL131" i="1"/>
  <c r="AL130" i="1"/>
  <c r="AL122" i="1"/>
  <c r="AL121" i="1"/>
  <c r="AL120" i="1"/>
  <c r="AL119" i="1"/>
  <c r="AL118" i="1"/>
  <c r="AL117" i="1"/>
  <c r="AL116" i="1"/>
  <c r="AK115" i="1"/>
  <c r="AK114" i="1" s="1"/>
  <c r="AL110" i="1"/>
  <c r="AK108" i="1"/>
  <c r="AL107" i="1"/>
  <c r="AL106" i="1"/>
  <c r="AL105" i="1"/>
  <c r="AL104" i="1"/>
  <c r="AL103" i="1"/>
  <c r="AL102" i="1"/>
  <c r="AL101" i="1"/>
  <c r="AL100" i="1"/>
  <c r="AL99" i="1"/>
  <c r="AL98" i="1"/>
  <c r="AL97" i="1"/>
  <c r="AL96" i="1"/>
  <c r="AL95" i="1"/>
  <c r="AL94" i="1"/>
  <c r="AK93" i="1"/>
  <c r="AL91" i="1"/>
  <c r="AK83" i="1"/>
  <c r="AL81" i="1"/>
  <c r="AL80" i="1"/>
  <c r="AK76" i="1"/>
  <c r="AK68" i="1"/>
  <c r="AK66" i="1"/>
  <c r="AL63" i="1"/>
  <c r="AL60" i="1"/>
  <c r="AL59" i="1"/>
  <c r="AL57" i="1"/>
  <c r="AL54" i="1"/>
  <c r="AK53" i="1"/>
  <c r="AL43" i="1"/>
  <c r="AL40" i="1"/>
  <c r="AK37" i="1"/>
  <c r="AL34" i="1"/>
  <c r="AL36" i="1"/>
  <c r="AL33" i="1"/>
  <c r="AK32" i="1"/>
  <c r="AL31" i="1"/>
  <c r="AK30" i="1"/>
  <c r="AL42" i="1"/>
  <c r="AL29" i="1"/>
  <c r="AL27" i="1"/>
  <c r="AL26" i="1"/>
  <c r="AK15" i="1"/>
  <c r="AK10" i="1" s="1"/>
  <c r="AL21" i="1"/>
  <c r="AL17" i="1"/>
  <c r="AK25" i="1" l="1"/>
  <c r="AK92" i="1"/>
  <c r="AK8" i="1"/>
  <c r="AK6" i="1" s="1"/>
  <c r="BC88" i="1"/>
  <c r="BD88" i="1" s="1"/>
  <c r="BE88" i="1" s="1"/>
  <c r="BC102" i="1"/>
  <c r="BB102" i="1"/>
  <c r="BC87" i="1"/>
  <c r="BC106" i="1"/>
  <c r="BB106" i="1"/>
  <c r="BC81" i="1"/>
  <c r="BB81" i="1"/>
  <c r="BC158" i="1"/>
  <c r="AM50" i="1"/>
  <c r="AM8" i="1"/>
  <c r="AM6" i="1"/>
  <c r="AK52" i="1"/>
  <c r="AG137" i="1"/>
  <c r="BA137" i="1" s="1"/>
  <c r="AG136" i="1"/>
  <c r="BA136" i="1" s="1"/>
  <c r="AG141" i="1"/>
  <c r="BA141" i="1" s="1"/>
  <c r="AG142" i="1"/>
  <c r="AG121" i="1"/>
  <c r="BA121" i="1" s="1"/>
  <c r="AG130" i="1"/>
  <c r="BA130" i="1" s="1"/>
  <c r="AG118" i="1"/>
  <c r="BA118" i="1" s="1"/>
  <c r="AG123" i="1"/>
  <c r="BA123" i="1" s="1"/>
  <c r="AG117" i="1"/>
  <c r="BA117" i="1" s="1"/>
  <c r="AG57" i="1"/>
  <c r="BA57" i="1" s="1"/>
  <c r="AG62" i="1"/>
  <c r="BA62" i="1" s="1"/>
  <c r="AG61" i="1"/>
  <c r="BA61" i="1" s="1"/>
  <c r="AG59" i="1"/>
  <c r="BA59" i="1" s="1"/>
  <c r="AG54" i="1"/>
  <c r="BA54" i="1" s="1"/>
  <c r="AG72" i="1"/>
  <c r="BA72" i="1" s="1"/>
  <c r="AG82" i="1"/>
  <c r="BA82" i="1" s="1"/>
  <c r="AG31" i="1"/>
  <c r="BA31" i="1" s="1"/>
  <c r="AG26" i="1"/>
  <c r="BA26" i="1" s="1"/>
  <c r="AG27" i="1"/>
  <c r="BA27" i="1" s="1"/>
  <c r="AG35" i="1"/>
  <c r="BA35" i="1" s="1"/>
  <c r="AJ159" i="1"/>
  <c r="AI156" i="1"/>
  <c r="AJ155" i="1"/>
  <c r="AJ153" i="1"/>
  <c r="AJ152" i="1"/>
  <c r="AJ151" i="1"/>
  <c r="AI150" i="1"/>
  <c r="AJ148" i="1"/>
  <c r="AJ146" i="1"/>
  <c r="AJ145" i="1"/>
  <c r="AJ144" i="1"/>
  <c r="AJ142" i="1"/>
  <c r="AJ140" i="1"/>
  <c r="AJ139" i="1"/>
  <c r="AJ138" i="1"/>
  <c r="AJ137" i="1"/>
  <c r="AJ135" i="1"/>
  <c r="AI134" i="1"/>
  <c r="AI133" i="1" s="1"/>
  <c r="AJ131" i="1"/>
  <c r="AJ130" i="1"/>
  <c r="AJ122" i="1"/>
  <c r="AJ121" i="1"/>
  <c r="AJ120" i="1"/>
  <c r="AJ119" i="1"/>
  <c r="AJ118" i="1"/>
  <c r="AJ117" i="1"/>
  <c r="AJ116" i="1"/>
  <c r="AI115" i="1"/>
  <c r="AJ110" i="1"/>
  <c r="AI108" i="1"/>
  <c r="AJ107" i="1"/>
  <c r="AJ106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I93" i="1"/>
  <c r="AJ91" i="1"/>
  <c r="AI83" i="1"/>
  <c r="AJ81" i="1"/>
  <c r="AJ80" i="1"/>
  <c r="AI76" i="1"/>
  <c r="AI68" i="1"/>
  <c r="AI66" i="1"/>
  <c r="AJ63" i="1"/>
  <c r="AJ60" i="1"/>
  <c r="AJ59" i="1"/>
  <c r="AJ57" i="1"/>
  <c r="AJ54" i="1"/>
  <c r="AI53" i="1"/>
  <c r="AJ43" i="1"/>
  <c r="AJ40" i="1"/>
  <c r="AI37" i="1"/>
  <c r="AJ34" i="1"/>
  <c r="AJ36" i="1"/>
  <c r="AJ33" i="1"/>
  <c r="AI32" i="1"/>
  <c r="AJ31" i="1"/>
  <c r="AI30" i="1"/>
  <c r="AJ42" i="1"/>
  <c r="AJ29" i="1"/>
  <c r="AJ27" i="1"/>
  <c r="AJ26" i="1"/>
  <c r="AJ21" i="1"/>
  <c r="AJ17" i="1"/>
  <c r="AG156" i="1"/>
  <c r="AG150" i="1"/>
  <c r="AG108" i="1"/>
  <c r="AG93" i="1"/>
  <c r="AG83" i="1"/>
  <c r="AG68" i="1"/>
  <c r="BA68" i="1" s="1"/>
  <c r="AG66" i="1"/>
  <c r="AG37" i="1"/>
  <c r="AI25" i="1" l="1"/>
  <c r="AZ25" i="1"/>
  <c r="BA66" i="1"/>
  <c r="BC66" i="1" s="1"/>
  <c r="AG76" i="1"/>
  <c r="BA76" i="1" s="1"/>
  <c r="BC76" i="1" s="1"/>
  <c r="AG30" i="1"/>
  <c r="BA108" i="1"/>
  <c r="BC108" i="1" s="1"/>
  <c r="AG32" i="1"/>
  <c r="BA32" i="1" s="1"/>
  <c r="BC32" i="1" s="1"/>
  <c r="AG15" i="1"/>
  <c r="AG10" i="1" s="1"/>
  <c r="BC68" i="1"/>
  <c r="BC26" i="1"/>
  <c r="BB26" i="1"/>
  <c r="BC62" i="1"/>
  <c r="BC118" i="1"/>
  <c r="BB118" i="1"/>
  <c r="BC37" i="1"/>
  <c r="AG115" i="1"/>
  <c r="BC54" i="1"/>
  <c r="BB54" i="1"/>
  <c r="BC130" i="1"/>
  <c r="BB130" i="1"/>
  <c r="AG53" i="1"/>
  <c r="BA53" i="1" s="1"/>
  <c r="BA83" i="1"/>
  <c r="AG149" i="1"/>
  <c r="BA150" i="1"/>
  <c r="BC35" i="1"/>
  <c r="BC31" i="1"/>
  <c r="BB31" i="1"/>
  <c r="BC59" i="1"/>
  <c r="BD59" i="1" s="1"/>
  <c r="BE59" i="1" s="1"/>
  <c r="BB59" i="1"/>
  <c r="BC117" i="1"/>
  <c r="BB117" i="1"/>
  <c r="BC121" i="1"/>
  <c r="BD121" i="1" s="1"/>
  <c r="BB121" i="1"/>
  <c r="BC137" i="1"/>
  <c r="BB137" i="1"/>
  <c r="BC72" i="1"/>
  <c r="BD72" i="1" s="1"/>
  <c r="BE72" i="1" s="1"/>
  <c r="BC141" i="1"/>
  <c r="BC57" i="1"/>
  <c r="BB57" i="1"/>
  <c r="BC136" i="1"/>
  <c r="BA30" i="1"/>
  <c r="BA93" i="1"/>
  <c r="BA156" i="1"/>
  <c r="BC27" i="1"/>
  <c r="BB27" i="1"/>
  <c r="BC82" i="1"/>
  <c r="BD82" i="1" s="1"/>
  <c r="BE82" i="1" s="1"/>
  <c r="BC61" i="1"/>
  <c r="BC123" i="1"/>
  <c r="AG134" i="1"/>
  <c r="BA142" i="1"/>
  <c r="AI149" i="1"/>
  <c r="AI114" i="1"/>
  <c r="AI92" i="1"/>
  <c r="AI52" i="1"/>
  <c r="AK50" i="1"/>
  <c r="BA25" i="1" l="1"/>
  <c r="BC25" i="1" s="1"/>
  <c r="BA10" i="1"/>
  <c r="AG25" i="1"/>
  <c r="AG6" i="1" s="1"/>
  <c r="AG52" i="1"/>
  <c r="BA52" i="1" s="1"/>
  <c r="BA15" i="1"/>
  <c r="BC15" i="1" s="1"/>
  <c r="BC142" i="1"/>
  <c r="BB142" i="1"/>
  <c r="BA149" i="1"/>
  <c r="AG114" i="1"/>
  <c r="BA114" i="1" s="1"/>
  <c r="BA115" i="1"/>
  <c r="AG133" i="1"/>
  <c r="BA133" i="1" s="1"/>
  <c r="BA134" i="1"/>
  <c r="BC83" i="1"/>
  <c r="BC93" i="1"/>
  <c r="BC150" i="1"/>
  <c r="AI8" i="1"/>
  <c r="AI6" i="1"/>
  <c r="BC156" i="1"/>
  <c r="BC30" i="1"/>
  <c r="BE121" i="1"/>
  <c r="BC53" i="1"/>
  <c r="AI50" i="1"/>
  <c r="AH155" i="1"/>
  <c r="AH153" i="1"/>
  <c r="AH152" i="1"/>
  <c r="AH151" i="1"/>
  <c r="AH148" i="1"/>
  <c r="AH146" i="1"/>
  <c r="AH145" i="1"/>
  <c r="AH144" i="1"/>
  <c r="AH142" i="1"/>
  <c r="AH140" i="1"/>
  <c r="AH139" i="1"/>
  <c r="AH138" i="1"/>
  <c r="AH137" i="1"/>
  <c r="AH135" i="1"/>
  <c r="AH131" i="1"/>
  <c r="AH130" i="1"/>
  <c r="AH122" i="1"/>
  <c r="AH121" i="1"/>
  <c r="AH120" i="1"/>
  <c r="AH119" i="1"/>
  <c r="AH118" i="1"/>
  <c r="AH117" i="1"/>
  <c r="AH116" i="1"/>
  <c r="AH110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1" i="1"/>
  <c r="AH81" i="1"/>
  <c r="AH80" i="1"/>
  <c r="AH63" i="1"/>
  <c r="AH60" i="1"/>
  <c r="AH59" i="1"/>
  <c r="AH57" i="1"/>
  <c r="AH54" i="1"/>
  <c r="AH43" i="1"/>
  <c r="AH40" i="1"/>
  <c r="AH34" i="1"/>
  <c r="AH36" i="1"/>
  <c r="AH33" i="1"/>
  <c r="AH31" i="1"/>
  <c r="AH42" i="1"/>
  <c r="AH29" i="1"/>
  <c r="AH27" i="1"/>
  <c r="AH26" i="1"/>
  <c r="AH21" i="1"/>
  <c r="AH17" i="1"/>
  <c r="AH159" i="1"/>
  <c r="BC10" i="1" l="1"/>
  <c r="BA6" i="1"/>
  <c r="BC6" i="1" s="1"/>
  <c r="AG8" i="1"/>
  <c r="BA8" i="1" s="1"/>
  <c r="BC8" i="1" s="1"/>
  <c r="BC149" i="1"/>
  <c r="BC52" i="1"/>
  <c r="BC134" i="1"/>
  <c r="BC115" i="1"/>
  <c r="BC133" i="1"/>
  <c r="BC114" i="1"/>
  <c r="AB41" i="1" l="1"/>
  <c r="AB147" i="1"/>
  <c r="BD147" i="1" l="1"/>
  <c r="BE147" i="1" s="1"/>
  <c r="AZ147" i="1"/>
  <c r="AX147" i="1"/>
  <c r="AV147" i="1"/>
  <c r="AT147" i="1"/>
  <c r="AR147" i="1"/>
  <c r="AP147" i="1"/>
  <c r="AN147" i="1"/>
  <c r="BB147" i="1"/>
  <c r="AL147" i="1"/>
  <c r="AJ147" i="1"/>
  <c r="AH147" i="1"/>
  <c r="BD41" i="1"/>
  <c r="BE41" i="1" s="1"/>
  <c r="AZ41" i="1"/>
  <c r="AX41" i="1"/>
  <c r="AV41" i="1"/>
  <c r="AT41" i="1"/>
  <c r="AR41" i="1"/>
  <c r="AP41" i="1"/>
  <c r="AN41" i="1"/>
  <c r="BB41" i="1"/>
  <c r="AL41" i="1"/>
  <c r="AJ41" i="1"/>
  <c r="AH41" i="1"/>
  <c r="AB30" i="1"/>
  <c r="AB55" i="1"/>
  <c r="P55" i="1"/>
  <c r="R55" i="1"/>
  <c r="T55" i="1"/>
  <c r="V55" i="1"/>
  <c r="X55" i="1"/>
  <c r="Y55" i="1"/>
  <c r="AP55" i="1" l="1"/>
  <c r="AN55" i="1"/>
  <c r="BB55" i="1"/>
  <c r="AL55" i="1"/>
  <c r="AJ55" i="1"/>
  <c r="AH55" i="1"/>
  <c r="AZ30" i="1"/>
  <c r="AX30" i="1"/>
  <c r="AV30" i="1"/>
  <c r="AT30" i="1"/>
  <c r="AR30" i="1"/>
  <c r="AN30" i="1"/>
  <c r="AP30" i="1"/>
  <c r="AL30" i="1"/>
  <c r="AJ30" i="1"/>
  <c r="AH30" i="1"/>
  <c r="BB30" i="1"/>
  <c r="W160" i="1"/>
  <c r="W152" i="1"/>
  <c r="W150" i="1" s="1"/>
  <c r="W149" i="1" s="1"/>
  <c r="W74" i="1"/>
  <c r="W144" i="1"/>
  <c r="W136" i="1"/>
  <c r="W141" i="1"/>
  <c r="W137" i="1"/>
  <c r="W140" i="1"/>
  <c r="W139" i="1"/>
  <c r="W142" i="1"/>
  <c r="W130" i="1"/>
  <c r="W123" i="1"/>
  <c r="W118" i="1"/>
  <c r="W119" i="1"/>
  <c r="W121" i="1"/>
  <c r="W117" i="1"/>
  <c r="W124" i="1"/>
  <c r="W87" i="1"/>
  <c r="W86" i="1"/>
  <c r="W83" i="1" s="1"/>
  <c r="W82" i="1"/>
  <c r="W78" i="1"/>
  <c r="Y78" i="1" s="1"/>
  <c r="AA78" i="1" s="1"/>
  <c r="AB78" i="1" s="1"/>
  <c r="W72" i="1"/>
  <c r="W60" i="1"/>
  <c r="W59" i="1"/>
  <c r="W62" i="1"/>
  <c r="W57" i="1"/>
  <c r="W64" i="1"/>
  <c r="W61" i="1"/>
  <c r="Y58" i="1"/>
  <c r="AA58" i="1" s="1"/>
  <c r="AB58" i="1" s="1"/>
  <c r="W54" i="1"/>
  <c r="W31" i="1"/>
  <c r="W15" i="1" s="1"/>
  <c r="W10" i="1" s="1"/>
  <c r="X10" i="1" s="1"/>
  <c r="W26" i="1"/>
  <c r="W27" i="1"/>
  <c r="W35" i="1"/>
  <c r="W32" i="1" s="1"/>
  <c r="Y159" i="1"/>
  <c r="AA159" i="1" s="1"/>
  <c r="Y154" i="1"/>
  <c r="AA154" i="1" s="1"/>
  <c r="AB154" i="1" s="1"/>
  <c r="Y153" i="1"/>
  <c r="AA153" i="1" s="1"/>
  <c r="AD153" i="1" s="1"/>
  <c r="Y151" i="1"/>
  <c r="AA151" i="1" s="1"/>
  <c r="AD151" i="1" s="1"/>
  <c r="Y148" i="1"/>
  <c r="AA148" i="1" s="1"/>
  <c r="Y147" i="1"/>
  <c r="AA147" i="1" s="1"/>
  <c r="AD147" i="1" s="1"/>
  <c r="Y143" i="1"/>
  <c r="AA143" i="1" s="1"/>
  <c r="AB143" i="1" s="1"/>
  <c r="Y132" i="1"/>
  <c r="AA132" i="1" s="1"/>
  <c r="AB132" i="1" s="1"/>
  <c r="Y131" i="1"/>
  <c r="AA131" i="1" s="1"/>
  <c r="Y129" i="1"/>
  <c r="AA129" i="1" s="1"/>
  <c r="AB129" i="1" s="1"/>
  <c r="Y128" i="1"/>
  <c r="AA128" i="1" s="1"/>
  <c r="AB128" i="1" s="1"/>
  <c r="Y127" i="1"/>
  <c r="AA127" i="1" s="1"/>
  <c r="AB127" i="1" s="1"/>
  <c r="Y126" i="1"/>
  <c r="AA126" i="1" s="1"/>
  <c r="AB126" i="1" s="1"/>
  <c r="Y125" i="1"/>
  <c r="AA125" i="1" s="1"/>
  <c r="AB125" i="1" s="1"/>
  <c r="Y122" i="1"/>
  <c r="AA122" i="1" s="1"/>
  <c r="Y120" i="1"/>
  <c r="AA120" i="1" s="1"/>
  <c r="AD120" i="1" s="1"/>
  <c r="Y116" i="1"/>
  <c r="AA116" i="1" s="1"/>
  <c r="AD116" i="1" s="1"/>
  <c r="Y112" i="1"/>
  <c r="AA112" i="1" s="1"/>
  <c r="AB112" i="1" s="1"/>
  <c r="Y111" i="1"/>
  <c r="AA111" i="1" s="1"/>
  <c r="AB111" i="1" s="1"/>
  <c r="Y110" i="1"/>
  <c r="AA110" i="1" s="1"/>
  <c r="AD110" i="1" s="1"/>
  <c r="Y109" i="1"/>
  <c r="AA109" i="1" s="1"/>
  <c r="AB109" i="1" s="1"/>
  <c r="Y107" i="1"/>
  <c r="AA107" i="1" s="1"/>
  <c r="Y99" i="1"/>
  <c r="AA99" i="1" s="1"/>
  <c r="Y98" i="1"/>
  <c r="AA98" i="1" s="1"/>
  <c r="Y97" i="1"/>
  <c r="AA97" i="1" s="1"/>
  <c r="Y96" i="1"/>
  <c r="AA96" i="1" s="1"/>
  <c r="Y95" i="1"/>
  <c r="AA95" i="1" s="1"/>
  <c r="Y91" i="1"/>
  <c r="AA91" i="1" s="1"/>
  <c r="AD91" i="1" s="1"/>
  <c r="Y85" i="1"/>
  <c r="AA85" i="1" s="1"/>
  <c r="AB85" i="1" s="1"/>
  <c r="Y84" i="1"/>
  <c r="AA84" i="1" s="1"/>
  <c r="AB84" i="1" s="1"/>
  <c r="Y81" i="1"/>
  <c r="AA81" i="1" s="1"/>
  <c r="Y79" i="1"/>
  <c r="AA79" i="1" s="1"/>
  <c r="AB79" i="1" s="1"/>
  <c r="Y77" i="1"/>
  <c r="AA77" i="1" s="1"/>
  <c r="AB77" i="1" s="1"/>
  <c r="Y75" i="1"/>
  <c r="AA75" i="1" s="1"/>
  <c r="AB75" i="1" s="1"/>
  <c r="Y73" i="1"/>
  <c r="AA73" i="1" s="1"/>
  <c r="AB73" i="1" s="1"/>
  <c r="Y71" i="1"/>
  <c r="AA71" i="1" s="1"/>
  <c r="AB71" i="1" s="1"/>
  <c r="Y70" i="1"/>
  <c r="AA70" i="1" s="1"/>
  <c r="AB70" i="1" s="1"/>
  <c r="Y69" i="1"/>
  <c r="AA69" i="1" s="1"/>
  <c r="AB69" i="1" s="1"/>
  <c r="Y67" i="1"/>
  <c r="AA67" i="1" s="1"/>
  <c r="AB67" i="1" s="1"/>
  <c r="Y63" i="1"/>
  <c r="AA63" i="1" s="1"/>
  <c r="Y56" i="1"/>
  <c r="AA56" i="1" s="1"/>
  <c r="AB56" i="1" s="1"/>
  <c r="Y49" i="1"/>
  <c r="Y41" i="1"/>
  <c r="AA41" i="1" s="1"/>
  <c r="Y40" i="1"/>
  <c r="AA40" i="1" s="1"/>
  <c r="Y38" i="1"/>
  <c r="AA38" i="1" s="1"/>
  <c r="AB38" i="1" s="1"/>
  <c r="Y34" i="1"/>
  <c r="AA34" i="1" s="1"/>
  <c r="Y36" i="1"/>
  <c r="AA36" i="1" s="1"/>
  <c r="AD36" i="1" s="1"/>
  <c r="Y33" i="1"/>
  <c r="AA33" i="1" s="1"/>
  <c r="Y42" i="1"/>
  <c r="AA42" i="1" s="1"/>
  <c r="AD42" i="1" s="1"/>
  <c r="Y23" i="1"/>
  <c r="AA23" i="1" s="1"/>
  <c r="AB23" i="1" s="1"/>
  <c r="Y22" i="1"/>
  <c r="AA22" i="1" s="1"/>
  <c r="AB22" i="1" s="1"/>
  <c r="Y48" i="1"/>
  <c r="AA48" i="1" s="1"/>
  <c r="AB48" i="1" s="1"/>
  <c r="Y47" i="1"/>
  <c r="AA47" i="1" s="1"/>
  <c r="AB47" i="1" s="1"/>
  <c r="Y46" i="1"/>
  <c r="AA46" i="1" s="1"/>
  <c r="AB46" i="1" s="1"/>
  <c r="Y45" i="1"/>
  <c r="AA45" i="1" s="1"/>
  <c r="AB45" i="1" s="1"/>
  <c r="Y21" i="1"/>
  <c r="AA21" i="1" s="1"/>
  <c r="AD21" i="1" s="1"/>
  <c r="Y20" i="1"/>
  <c r="AA20" i="1" s="1"/>
  <c r="AB20" i="1" s="1"/>
  <c r="Y19" i="1"/>
  <c r="AA19" i="1" s="1"/>
  <c r="AB19" i="1" s="1"/>
  <c r="Y18" i="1"/>
  <c r="AA18" i="1" s="1"/>
  <c r="AB18" i="1" s="1"/>
  <c r="Y24" i="1"/>
  <c r="AA24" i="1" s="1"/>
  <c r="AB24" i="1" s="1"/>
  <c r="Y17" i="1"/>
  <c r="AA17" i="1" s="1"/>
  <c r="AD17" i="1" s="1"/>
  <c r="Y13" i="1"/>
  <c r="AA13" i="1" s="1"/>
  <c r="AB13" i="1" s="1"/>
  <c r="Y12" i="1"/>
  <c r="AA12" i="1" s="1"/>
  <c r="W156" i="1"/>
  <c r="W108" i="1"/>
  <c r="W93" i="1"/>
  <c r="X81" i="1"/>
  <c r="W66" i="1"/>
  <c r="X40" i="1"/>
  <c r="W37" i="1"/>
  <c r="W68" i="1" l="1"/>
  <c r="AZ78" i="1"/>
  <c r="AX78" i="1"/>
  <c r="AV78" i="1"/>
  <c r="AT78" i="1"/>
  <c r="AR78" i="1"/>
  <c r="AP78" i="1"/>
  <c r="AN78" i="1"/>
  <c r="BB78" i="1"/>
  <c r="AL78" i="1"/>
  <c r="AJ78" i="1"/>
  <c r="AH78" i="1"/>
  <c r="AD78" i="1"/>
  <c r="BD24" i="1"/>
  <c r="BE24" i="1" s="1"/>
  <c r="AZ24" i="1"/>
  <c r="AX24" i="1"/>
  <c r="AV24" i="1"/>
  <c r="AT24" i="1"/>
  <c r="AR24" i="1"/>
  <c r="AP24" i="1"/>
  <c r="AN24" i="1"/>
  <c r="BB24" i="1"/>
  <c r="AL24" i="1"/>
  <c r="AJ24" i="1"/>
  <c r="AH24" i="1"/>
  <c r="AD24" i="1"/>
  <c r="AZ48" i="1"/>
  <c r="AX48" i="1"/>
  <c r="AV48" i="1"/>
  <c r="AT48" i="1"/>
  <c r="AR48" i="1"/>
  <c r="AP48" i="1"/>
  <c r="AN48" i="1"/>
  <c r="BB48" i="1"/>
  <c r="AL48" i="1"/>
  <c r="AJ48" i="1"/>
  <c r="AH48" i="1"/>
  <c r="BD69" i="1"/>
  <c r="AZ69" i="1"/>
  <c r="AX69" i="1"/>
  <c r="AV69" i="1"/>
  <c r="AT69" i="1"/>
  <c r="AR69" i="1"/>
  <c r="AP69" i="1"/>
  <c r="AN69" i="1"/>
  <c r="BB69" i="1"/>
  <c r="AL69" i="1"/>
  <c r="AJ69" i="1"/>
  <c r="AH69" i="1"/>
  <c r="AD69" i="1"/>
  <c r="BD143" i="1"/>
  <c r="BE143" i="1" s="1"/>
  <c r="AZ143" i="1"/>
  <c r="AX143" i="1"/>
  <c r="AV143" i="1"/>
  <c r="AT143" i="1"/>
  <c r="AR143" i="1"/>
  <c r="AP143" i="1"/>
  <c r="AN143" i="1"/>
  <c r="BB143" i="1"/>
  <c r="AL143" i="1"/>
  <c r="AJ143" i="1"/>
  <c r="AH143" i="1"/>
  <c r="AD143" i="1"/>
  <c r="BD58" i="1"/>
  <c r="BE58" i="1" s="1"/>
  <c r="AZ58" i="1"/>
  <c r="AX58" i="1"/>
  <c r="AV58" i="1"/>
  <c r="AT58" i="1"/>
  <c r="AR58" i="1"/>
  <c r="AP58" i="1"/>
  <c r="AN58" i="1"/>
  <c r="BB58" i="1"/>
  <c r="AL58" i="1"/>
  <c r="AJ58" i="1"/>
  <c r="AH58" i="1"/>
  <c r="AD58" i="1"/>
  <c r="AB12" i="1"/>
  <c r="AZ45" i="1"/>
  <c r="AX45" i="1"/>
  <c r="AV45" i="1"/>
  <c r="AT45" i="1"/>
  <c r="AR45" i="1"/>
  <c r="AP45" i="1"/>
  <c r="AN45" i="1"/>
  <c r="BB45" i="1"/>
  <c r="AL45" i="1"/>
  <c r="AJ45" i="1"/>
  <c r="AH45" i="1"/>
  <c r="BD56" i="1"/>
  <c r="AZ56" i="1"/>
  <c r="AX56" i="1"/>
  <c r="AV56" i="1"/>
  <c r="AT56" i="1"/>
  <c r="AR56" i="1"/>
  <c r="AP56" i="1"/>
  <c r="AN56" i="1"/>
  <c r="BB56" i="1"/>
  <c r="AL56" i="1"/>
  <c r="AJ56" i="1"/>
  <c r="AH56" i="1"/>
  <c r="AD56" i="1"/>
  <c r="BD77" i="1"/>
  <c r="AZ77" i="1"/>
  <c r="AX77" i="1"/>
  <c r="AV77" i="1"/>
  <c r="AT77" i="1"/>
  <c r="AR77" i="1"/>
  <c r="AP77" i="1"/>
  <c r="AN77" i="1"/>
  <c r="BB77" i="1"/>
  <c r="AL77" i="1"/>
  <c r="AJ77" i="1"/>
  <c r="AH77" i="1"/>
  <c r="AD77" i="1"/>
  <c r="AZ125" i="1"/>
  <c r="AX125" i="1"/>
  <c r="AV125" i="1"/>
  <c r="AT125" i="1"/>
  <c r="AR125" i="1"/>
  <c r="AP125" i="1"/>
  <c r="AN125" i="1"/>
  <c r="BB125" i="1"/>
  <c r="AL125" i="1"/>
  <c r="AJ125" i="1"/>
  <c r="AH125" i="1"/>
  <c r="AZ13" i="1"/>
  <c r="AX13" i="1"/>
  <c r="AV13" i="1"/>
  <c r="AT13" i="1"/>
  <c r="AR13" i="1"/>
  <c r="AP13" i="1"/>
  <c r="AN13" i="1"/>
  <c r="BB13" i="1"/>
  <c r="AL13" i="1"/>
  <c r="AJ13" i="1"/>
  <c r="AH13" i="1"/>
  <c r="AD13" i="1"/>
  <c r="AZ19" i="1"/>
  <c r="AX19" i="1"/>
  <c r="AV19" i="1"/>
  <c r="AT19" i="1"/>
  <c r="AR19" i="1"/>
  <c r="AP19" i="1"/>
  <c r="AN19" i="1"/>
  <c r="BB19" i="1"/>
  <c r="AL19" i="1"/>
  <c r="AJ19" i="1"/>
  <c r="AH19" i="1"/>
  <c r="AD19" i="1"/>
  <c r="BD46" i="1"/>
  <c r="BE46" i="1" s="1"/>
  <c r="AZ46" i="1"/>
  <c r="AX46" i="1"/>
  <c r="AV46" i="1"/>
  <c r="AT46" i="1"/>
  <c r="AR46" i="1"/>
  <c r="AP46" i="1"/>
  <c r="AN46" i="1"/>
  <c r="BB46" i="1"/>
  <c r="AL46" i="1"/>
  <c r="AJ46" i="1"/>
  <c r="AH46" i="1"/>
  <c r="AD46" i="1"/>
  <c r="BD71" i="1"/>
  <c r="BE71" i="1" s="1"/>
  <c r="AZ71" i="1"/>
  <c r="AX71" i="1"/>
  <c r="AV71" i="1"/>
  <c r="AT71" i="1"/>
  <c r="AR71" i="1"/>
  <c r="AP71" i="1"/>
  <c r="AN71" i="1"/>
  <c r="BB71" i="1"/>
  <c r="AL71" i="1"/>
  <c r="AJ71" i="1"/>
  <c r="AH71" i="1"/>
  <c r="AD71" i="1"/>
  <c r="BD85" i="1"/>
  <c r="BE85" i="1" s="1"/>
  <c r="AZ85" i="1"/>
  <c r="AX85" i="1"/>
  <c r="AV85" i="1"/>
  <c r="AT85" i="1"/>
  <c r="AR85" i="1"/>
  <c r="AP85" i="1"/>
  <c r="AN85" i="1"/>
  <c r="BB85" i="1"/>
  <c r="AL85" i="1"/>
  <c r="AJ85" i="1"/>
  <c r="AH85" i="1"/>
  <c r="AD85" i="1"/>
  <c r="BD109" i="1"/>
  <c r="AZ109" i="1"/>
  <c r="AX109" i="1"/>
  <c r="AV109" i="1"/>
  <c r="AT109" i="1"/>
  <c r="AR109" i="1"/>
  <c r="AP109" i="1"/>
  <c r="AN109" i="1"/>
  <c r="BB109" i="1"/>
  <c r="AL109" i="1"/>
  <c r="AJ109" i="1"/>
  <c r="AH109" i="1"/>
  <c r="AD109" i="1"/>
  <c r="AB108" i="1"/>
  <c r="BD126" i="1"/>
  <c r="BE126" i="1" s="1"/>
  <c r="AZ126" i="1"/>
  <c r="AX126" i="1"/>
  <c r="AV126" i="1"/>
  <c r="AT126" i="1"/>
  <c r="AR126" i="1"/>
  <c r="AP126" i="1"/>
  <c r="AN126" i="1"/>
  <c r="BB126" i="1"/>
  <c r="AL126" i="1"/>
  <c r="AJ126" i="1"/>
  <c r="AH126" i="1"/>
  <c r="AD126" i="1"/>
  <c r="AZ75" i="1"/>
  <c r="AX75" i="1"/>
  <c r="AV75" i="1"/>
  <c r="AT75" i="1"/>
  <c r="AR75" i="1"/>
  <c r="AP75" i="1"/>
  <c r="AN75" i="1"/>
  <c r="BB75" i="1"/>
  <c r="AL75" i="1"/>
  <c r="AJ75" i="1"/>
  <c r="AH75" i="1"/>
  <c r="AD75" i="1"/>
  <c r="AZ111" i="1"/>
  <c r="AX111" i="1"/>
  <c r="AV111" i="1"/>
  <c r="AT111" i="1"/>
  <c r="AR111" i="1"/>
  <c r="AP111" i="1"/>
  <c r="AN111" i="1"/>
  <c r="BB111" i="1"/>
  <c r="AL111" i="1"/>
  <c r="AJ111" i="1"/>
  <c r="AH111" i="1"/>
  <c r="AD111" i="1"/>
  <c r="BD128" i="1"/>
  <c r="BE128" i="1" s="1"/>
  <c r="AZ128" i="1"/>
  <c r="AX128" i="1"/>
  <c r="AV128" i="1"/>
  <c r="AT128" i="1"/>
  <c r="AR128" i="1"/>
  <c r="AP128" i="1"/>
  <c r="AN128" i="1"/>
  <c r="BB128" i="1"/>
  <c r="AL128" i="1"/>
  <c r="AJ128" i="1"/>
  <c r="AH128" i="1"/>
  <c r="AZ18" i="1"/>
  <c r="AX18" i="1"/>
  <c r="AV18" i="1"/>
  <c r="AT18" i="1"/>
  <c r="AR18" i="1"/>
  <c r="AP18" i="1"/>
  <c r="AN18" i="1"/>
  <c r="BB18" i="1"/>
  <c r="AL18" i="1"/>
  <c r="AJ18" i="1"/>
  <c r="AH18" i="1"/>
  <c r="AD18" i="1"/>
  <c r="AZ22" i="1"/>
  <c r="AX22" i="1"/>
  <c r="AV22" i="1"/>
  <c r="AT22" i="1"/>
  <c r="AR22" i="1"/>
  <c r="AP22" i="1"/>
  <c r="AN22" i="1"/>
  <c r="BB22" i="1"/>
  <c r="AL22" i="1"/>
  <c r="AJ22" i="1"/>
  <c r="AH22" i="1"/>
  <c r="BD38" i="1"/>
  <c r="AZ38" i="1"/>
  <c r="AX38" i="1"/>
  <c r="AV38" i="1"/>
  <c r="AT38" i="1"/>
  <c r="AR38" i="1"/>
  <c r="AP38" i="1"/>
  <c r="AN38" i="1"/>
  <c r="BB38" i="1"/>
  <c r="AL38" i="1"/>
  <c r="AJ38" i="1"/>
  <c r="AH38" i="1"/>
  <c r="AB37" i="1"/>
  <c r="AD38" i="1"/>
  <c r="BD70" i="1"/>
  <c r="BE70" i="1" s="1"/>
  <c r="AZ70" i="1"/>
  <c r="AX70" i="1"/>
  <c r="AV70" i="1"/>
  <c r="AT70" i="1"/>
  <c r="AR70" i="1"/>
  <c r="AP70" i="1"/>
  <c r="AN70" i="1"/>
  <c r="BB70" i="1"/>
  <c r="AL70" i="1"/>
  <c r="AJ70" i="1"/>
  <c r="AH70" i="1"/>
  <c r="AD70" i="1"/>
  <c r="BD84" i="1"/>
  <c r="AZ84" i="1"/>
  <c r="AX84" i="1"/>
  <c r="AV84" i="1"/>
  <c r="AT84" i="1"/>
  <c r="AR84" i="1"/>
  <c r="AP84" i="1"/>
  <c r="AN84" i="1"/>
  <c r="BB84" i="1"/>
  <c r="AL84" i="1"/>
  <c r="AJ84" i="1"/>
  <c r="AH84" i="1"/>
  <c r="AD84" i="1"/>
  <c r="BD112" i="1"/>
  <c r="BE112" i="1" s="1"/>
  <c r="BF112" i="1" s="1"/>
  <c r="BG112" i="1" s="1"/>
  <c r="AZ112" i="1"/>
  <c r="AX112" i="1"/>
  <c r="AV112" i="1"/>
  <c r="AT112" i="1"/>
  <c r="AR112" i="1"/>
  <c r="AP112" i="1"/>
  <c r="AN112" i="1"/>
  <c r="BB112" i="1"/>
  <c r="AL112" i="1"/>
  <c r="AJ112" i="1"/>
  <c r="AH112" i="1"/>
  <c r="AD112" i="1"/>
  <c r="BD129" i="1"/>
  <c r="BE129" i="1" s="1"/>
  <c r="AZ129" i="1"/>
  <c r="AX129" i="1"/>
  <c r="AV129" i="1"/>
  <c r="AT129" i="1"/>
  <c r="AR129" i="1"/>
  <c r="AP129" i="1"/>
  <c r="AN129" i="1"/>
  <c r="BB129" i="1"/>
  <c r="AL129" i="1"/>
  <c r="AJ129" i="1"/>
  <c r="AH129" i="1"/>
  <c r="AD129" i="1"/>
  <c r="BD154" i="1"/>
  <c r="AZ154" i="1"/>
  <c r="AX154" i="1"/>
  <c r="AV154" i="1"/>
  <c r="AT154" i="1"/>
  <c r="AR154" i="1"/>
  <c r="AP154" i="1"/>
  <c r="AN154" i="1"/>
  <c r="BB154" i="1"/>
  <c r="AL154" i="1"/>
  <c r="AJ154" i="1"/>
  <c r="AH154" i="1"/>
  <c r="AD154" i="1"/>
  <c r="BD20" i="1"/>
  <c r="BE20" i="1" s="1"/>
  <c r="AZ20" i="1"/>
  <c r="AX20" i="1"/>
  <c r="AV20" i="1"/>
  <c r="AT20" i="1"/>
  <c r="AR20" i="1"/>
  <c r="AP20" i="1"/>
  <c r="AN20" i="1"/>
  <c r="BB20" i="1"/>
  <c r="AL20" i="1"/>
  <c r="AJ20" i="1"/>
  <c r="AH20" i="1"/>
  <c r="AD20" i="1"/>
  <c r="BD47" i="1"/>
  <c r="BE47" i="1" s="1"/>
  <c r="AZ47" i="1"/>
  <c r="AX47" i="1"/>
  <c r="AV47" i="1"/>
  <c r="AT47" i="1"/>
  <c r="AR47" i="1"/>
  <c r="AP47" i="1"/>
  <c r="AN47" i="1"/>
  <c r="BB47" i="1"/>
  <c r="AL47" i="1"/>
  <c r="AJ47" i="1"/>
  <c r="AH47" i="1"/>
  <c r="AD47" i="1"/>
  <c r="BD23" i="1"/>
  <c r="BE23" i="1" s="1"/>
  <c r="AZ23" i="1"/>
  <c r="AX23" i="1"/>
  <c r="AV23" i="1"/>
  <c r="AT23" i="1"/>
  <c r="AR23" i="1"/>
  <c r="AP23" i="1"/>
  <c r="AN23" i="1"/>
  <c r="BB23" i="1"/>
  <c r="AL23" i="1"/>
  <c r="AJ23" i="1"/>
  <c r="AH23" i="1"/>
  <c r="AD23" i="1"/>
  <c r="BD67" i="1"/>
  <c r="AZ67" i="1"/>
  <c r="AX67" i="1"/>
  <c r="AV67" i="1"/>
  <c r="AT67" i="1"/>
  <c r="AR67" i="1"/>
  <c r="AP67" i="1"/>
  <c r="AN67" i="1"/>
  <c r="BB67" i="1"/>
  <c r="AL67" i="1"/>
  <c r="AJ67" i="1"/>
  <c r="AH67" i="1"/>
  <c r="AD67" i="1"/>
  <c r="AB66" i="1"/>
  <c r="BD73" i="1"/>
  <c r="BE73" i="1" s="1"/>
  <c r="AZ73" i="1"/>
  <c r="AX73" i="1"/>
  <c r="AV73" i="1"/>
  <c r="AT73" i="1"/>
  <c r="AR73" i="1"/>
  <c r="AP73" i="1"/>
  <c r="AN73" i="1"/>
  <c r="BB73" i="1"/>
  <c r="AL73" i="1"/>
  <c r="AJ73" i="1"/>
  <c r="AH73" i="1"/>
  <c r="AD73" i="1"/>
  <c r="AZ79" i="1"/>
  <c r="AX79" i="1"/>
  <c r="AV79" i="1"/>
  <c r="AT79" i="1"/>
  <c r="AR79" i="1"/>
  <c r="AP79" i="1"/>
  <c r="AN79" i="1"/>
  <c r="BB79" i="1"/>
  <c r="AL79" i="1"/>
  <c r="AJ79" i="1"/>
  <c r="AH79" i="1"/>
  <c r="AD79" i="1"/>
  <c r="AB93" i="1"/>
  <c r="AD98" i="1"/>
  <c r="BD127" i="1"/>
  <c r="BE127" i="1" s="1"/>
  <c r="AZ127" i="1"/>
  <c r="AX127" i="1"/>
  <c r="AV127" i="1"/>
  <c r="AT127" i="1"/>
  <c r="AR127" i="1"/>
  <c r="AP127" i="1"/>
  <c r="AN127" i="1"/>
  <c r="BB127" i="1"/>
  <c r="AL127" i="1"/>
  <c r="AJ127" i="1"/>
  <c r="AH127" i="1"/>
  <c r="AD127" i="1"/>
  <c r="BD132" i="1"/>
  <c r="BE132" i="1" s="1"/>
  <c r="AZ132" i="1"/>
  <c r="AX132" i="1"/>
  <c r="AV132" i="1"/>
  <c r="AT132" i="1"/>
  <c r="AR132" i="1"/>
  <c r="AP132" i="1"/>
  <c r="AN132" i="1"/>
  <c r="BB132" i="1"/>
  <c r="AL132" i="1"/>
  <c r="AJ132" i="1"/>
  <c r="AH132" i="1"/>
  <c r="AD132" i="1"/>
  <c r="W30" i="1"/>
  <c r="W25" i="1" s="1"/>
  <c r="W6" i="1" s="1"/>
  <c r="W134" i="1"/>
  <c r="W115" i="1"/>
  <c r="W53" i="1"/>
  <c r="W92" i="1"/>
  <c r="W76" i="1"/>
  <c r="U146" i="1"/>
  <c r="U124" i="1"/>
  <c r="CG112" i="1" l="1"/>
  <c r="CE112" i="1"/>
  <c r="BW112" i="1"/>
  <c r="CC112" i="1"/>
  <c r="CA112" i="1"/>
  <c r="BU112" i="1"/>
  <c r="BS112" i="1"/>
  <c r="BQ112" i="1"/>
  <c r="BY112" i="1"/>
  <c r="BO112" i="1"/>
  <c r="BI112" i="1"/>
  <c r="BM112" i="1"/>
  <c r="BK112" i="1"/>
  <c r="W52" i="1"/>
  <c r="AB92" i="1"/>
  <c r="AZ93" i="1"/>
  <c r="AX93" i="1"/>
  <c r="AV93" i="1"/>
  <c r="AT93" i="1"/>
  <c r="AR93" i="1"/>
  <c r="AP93" i="1"/>
  <c r="AN93" i="1"/>
  <c r="AL93" i="1"/>
  <c r="AJ93" i="1"/>
  <c r="BB93" i="1"/>
  <c r="AZ108" i="1"/>
  <c r="AX108" i="1"/>
  <c r="AV108" i="1"/>
  <c r="AT108" i="1"/>
  <c r="AR108" i="1"/>
  <c r="AP108" i="1"/>
  <c r="AN108" i="1"/>
  <c r="AL108" i="1"/>
  <c r="BB108" i="1"/>
  <c r="AH108" i="1"/>
  <c r="AJ108" i="1"/>
  <c r="AZ66" i="1"/>
  <c r="AX66" i="1"/>
  <c r="AV66" i="1"/>
  <c r="AT66" i="1"/>
  <c r="AR66" i="1"/>
  <c r="AP66" i="1"/>
  <c r="AN66" i="1"/>
  <c r="AL66" i="1"/>
  <c r="AJ66" i="1"/>
  <c r="BB66" i="1"/>
  <c r="AH66" i="1"/>
  <c r="AZ37" i="1"/>
  <c r="AX37" i="1"/>
  <c r="AV37" i="1"/>
  <c r="AT37" i="1"/>
  <c r="AR37" i="1"/>
  <c r="AP37" i="1"/>
  <c r="AN37" i="1"/>
  <c r="AL37" i="1"/>
  <c r="AJ37" i="1"/>
  <c r="BB37" i="1"/>
  <c r="AH37" i="1"/>
  <c r="BE38" i="1"/>
  <c r="BD37" i="1"/>
  <c r="BE37" i="1" s="1"/>
  <c r="BE56" i="1"/>
  <c r="BD12" i="1"/>
  <c r="AZ12" i="1"/>
  <c r="AX12" i="1"/>
  <c r="AV12" i="1"/>
  <c r="AT12" i="1"/>
  <c r="AR12" i="1"/>
  <c r="AP12" i="1"/>
  <c r="AN12" i="1"/>
  <c r="BB12" i="1"/>
  <c r="AL12" i="1"/>
  <c r="AJ12" i="1"/>
  <c r="AH12" i="1"/>
  <c r="AD12" i="1"/>
  <c r="BE109" i="1"/>
  <c r="BF109" i="1" s="1"/>
  <c r="BD108" i="1"/>
  <c r="BE77" i="1"/>
  <c r="BD76" i="1"/>
  <c r="BE76" i="1" s="1"/>
  <c r="BE67" i="1"/>
  <c r="BD66" i="1"/>
  <c r="BE66" i="1" s="1"/>
  <c r="BE154" i="1"/>
  <c r="BD150" i="1"/>
  <c r="BE84" i="1"/>
  <c r="AB15" i="1"/>
  <c r="BE69" i="1"/>
  <c r="W8" i="1"/>
  <c r="W114" i="1"/>
  <c r="W133" i="1"/>
  <c r="U144" i="1"/>
  <c r="U136" i="1"/>
  <c r="U141" i="1"/>
  <c r="U137" i="1"/>
  <c r="U140" i="1"/>
  <c r="U139" i="1"/>
  <c r="U62" i="1"/>
  <c r="U135" i="1"/>
  <c r="U142" i="1"/>
  <c r="U130" i="1"/>
  <c r="U123" i="1"/>
  <c r="U118" i="1"/>
  <c r="U119" i="1"/>
  <c r="U121" i="1"/>
  <c r="U117" i="1"/>
  <c r="U106" i="1"/>
  <c r="U94" i="1"/>
  <c r="Y94" i="1" s="1"/>
  <c r="AA94" i="1" s="1"/>
  <c r="U86" i="1"/>
  <c r="U83" i="1" s="1"/>
  <c r="U82" i="1"/>
  <c r="U72" i="1"/>
  <c r="U68" i="1" s="1"/>
  <c r="U60" i="1"/>
  <c r="U59" i="1"/>
  <c r="U57" i="1"/>
  <c r="U64" i="1"/>
  <c r="U61" i="1"/>
  <c r="U54" i="1"/>
  <c r="U31" i="1"/>
  <c r="U15" i="1" s="1"/>
  <c r="U10" i="1" s="1"/>
  <c r="V10" i="1" s="1"/>
  <c r="U26" i="1"/>
  <c r="U27" i="1"/>
  <c r="U29" i="1"/>
  <c r="Y29" i="1" s="1"/>
  <c r="AA29" i="1" s="1"/>
  <c r="AD29" i="1" s="1"/>
  <c r="U35" i="1"/>
  <c r="U32" i="1" s="1"/>
  <c r="U156" i="1"/>
  <c r="U150" i="1"/>
  <c r="U149" i="1" s="1"/>
  <c r="U108" i="1"/>
  <c r="V81" i="1"/>
  <c r="U66" i="1"/>
  <c r="V40" i="1"/>
  <c r="U37" i="1"/>
  <c r="BF108" i="1" l="1"/>
  <c r="BG108" i="1" s="1"/>
  <c r="BG109" i="1"/>
  <c r="G11" i="3"/>
  <c r="BE150" i="1"/>
  <c r="BD149" i="1"/>
  <c r="BE149" i="1" s="1"/>
  <c r="BE12" i="1"/>
  <c r="BD15" i="1"/>
  <c r="BE15" i="1" s="1"/>
  <c r="AZ15" i="1"/>
  <c r="AX15" i="1"/>
  <c r="AV15" i="1"/>
  <c r="AT15" i="1"/>
  <c r="AP15" i="1"/>
  <c r="AR15" i="1"/>
  <c r="AN15" i="1"/>
  <c r="AL15" i="1"/>
  <c r="AJ15" i="1"/>
  <c r="BB15" i="1"/>
  <c r="AH15" i="1"/>
  <c r="BE108" i="1"/>
  <c r="BD92" i="1"/>
  <c r="BE92" i="1" s="1"/>
  <c r="AJ92" i="1"/>
  <c r="AZ92" i="1"/>
  <c r="AX92" i="1"/>
  <c r="AV92" i="1"/>
  <c r="AT92" i="1"/>
  <c r="AR92" i="1"/>
  <c r="AP92" i="1"/>
  <c r="AN92" i="1"/>
  <c r="AL92" i="1"/>
  <c r="U30" i="1"/>
  <c r="W50" i="1"/>
  <c r="U134" i="1"/>
  <c r="U115" i="1"/>
  <c r="U93" i="1"/>
  <c r="U92" i="1" s="1"/>
  <c r="U53" i="1"/>
  <c r="U76" i="1"/>
  <c r="S158" i="1"/>
  <c r="S160" i="1"/>
  <c r="S157" i="1"/>
  <c r="Y157" i="1" s="1"/>
  <c r="AA157" i="1" s="1"/>
  <c r="AB157" i="1" s="1"/>
  <c r="S136" i="1"/>
  <c r="S137" i="1"/>
  <c r="S140" i="1"/>
  <c r="S139" i="1"/>
  <c r="S138" i="1"/>
  <c r="Y138" i="1" s="1"/>
  <c r="AA138" i="1" s="1"/>
  <c r="AD138" i="1" s="1"/>
  <c r="S141" i="1"/>
  <c r="S135" i="1"/>
  <c r="S146" i="1"/>
  <c r="S145" i="1"/>
  <c r="Y145" i="1" s="1"/>
  <c r="AA145" i="1" s="1"/>
  <c r="AD145" i="1" s="1"/>
  <c r="S142" i="1"/>
  <c r="S130" i="1"/>
  <c r="S123" i="1"/>
  <c r="S118" i="1"/>
  <c r="S119" i="1"/>
  <c r="S121" i="1"/>
  <c r="S87" i="1"/>
  <c r="S90" i="1"/>
  <c r="S86" i="1"/>
  <c r="S82" i="1"/>
  <c r="S60" i="1"/>
  <c r="S59" i="1"/>
  <c r="S62" i="1"/>
  <c r="S61" i="1"/>
  <c r="S57" i="1"/>
  <c r="S64" i="1"/>
  <c r="S54" i="1"/>
  <c r="S31" i="1"/>
  <c r="CG109" i="1" l="1"/>
  <c r="CE109" i="1"/>
  <c r="CC109" i="1"/>
  <c r="BW109" i="1"/>
  <c r="BU109" i="1"/>
  <c r="BY109" i="1"/>
  <c r="CA109" i="1"/>
  <c r="BS109" i="1"/>
  <c r="BM109" i="1"/>
  <c r="BQ109" i="1"/>
  <c r="BO109" i="1"/>
  <c r="BI109" i="1"/>
  <c r="BK109" i="1"/>
  <c r="CC108" i="1"/>
  <c r="BY108" i="1"/>
  <c r="BO108" i="1"/>
  <c r="BQ108" i="1"/>
  <c r="BU108" i="1"/>
  <c r="CA108" i="1"/>
  <c r="CG108" i="1"/>
  <c r="BI108" i="1"/>
  <c r="BW108" i="1"/>
  <c r="BM108" i="1"/>
  <c r="CE108" i="1"/>
  <c r="BK108" i="1"/>
  <c r="BS108" i="1"/>
  <c r="U25" i="1"/>
  <c r="U8" i="1" s="1"/>
  <c r="BD157" i="1"/>
  <c r="AZ157" i="1"/>
  <c r="AX157" i="1"/>
  <c r="AV157" i="1"/>
  <c r="AT157" i="1"/>
  <c r="AR157" i="1"/>
  <c r="AP157" i="1"/>
  <c r="AN157" i="1"/>
  <c r="BB157" i="1"/>
  <c r="AL157" i="1"/>
  <c r="AJ157" i="1"/>
  <c r="AH157" i="1"/>
  <c r="AD157" i="1"/>
  <c r="U133" i="1"/>
  <c r="U114" i="1"/>
  <c r="U52" i="1"/>
  <c r="Q158" i="1"/>
  <c r="Q152" i="1"/>
  <c r="Q141" i="1"/>
  <c r="Q144" i="1"/>
  <c r="Y144" i="1" s="1"/>
  <c r="AA144" i="1" s="1"/>
  <c r="AD144" i="1" s="1"/>
  <c r="Q136" i="1"/>
  <c r="Q137" i="1"/>
  <c r="Q140" i="1"/>
  <c r="Q139" i="1"/>
  <c r="Q135" i="1"/>
  <c r="Q142" i="1"/>
  <c r="Q130" i="1"/>
  <c r="Q123" i="1"/>
  <c r="Q119" i="1"/>
  <c r="Q121" i="1"/>
  <c r="Q118" i="1"/>
  <c r="Q87" i="1"/>
  <c r="Q88" i="1"/>
  <c r="Y88" i="1" s="1"/>
  <c r="AA88" i="1" s="1"/>
  <c r="AB88" i="1" s="1"/>
  <c r="Q86" i="1"/>
  <c r="Q90" i="1"/>
  <c r="Q82" i="1"/>
  <c r="Q60" i="1"/>
  <c r="Q59" i="1"/>
  <c r="Q62" i="1"/>
  <c r="Q57" i="1"/>
  <c r="Q64" i="1"/>
  <c r="Q61" i="1"/>
  <c r="Q65" i="1"/>
  <c r="Q54" i="1"/>
  <c r="U6" i="1" l="1"/>
  <c r="AZ88" i="1"/>
  <c r="AX88" i="1"/>
  <c r="AV88" i="1"/>
  <c r="AT88" i="1"/>
  <c r="AR88" i="1"/>
  <c r="AP88" i="1"/>
  <c r="AN88" i="1"/>
  <c r="AL88" i="1"/>
  <c r="BB88" i="1"/>
  <c r="AJ88" i="1"/>
  <c r="AH88" i="1"/>
  <c r="AD88" i="1"/>
  <c r="BE157" i="1"/>
  <c r="BF157" i="1" s="1"/>
  <c r="BG157" i="1" s="1"/>
  <c r="U50" i="1"/>
  <c r="S15" i="1"/>
  <c r="S10" i="1" s="1"/>
  <c r="T10" i="1" s="1"/>
  <c r="S27" i="1"/>
  <c r="S26" i="1"/>
  <c r="S35" i="1"/>
  <c r="S156" i="1"/>
  <c r="S150" i="1"/>
  <c r="S134" i="1"/>
  <c r="S115" i="1"/>
  <c r="S108" i="1"/>
  <c r="S93" i="1"/>
  <c r="S83" i="1"/>
  <c r="T81" i="1"/>
  <c r="S76" i="1"/>
  <c r="S68" i="1"/>
  <c r="S66" i="1"/>
  <c r="S53" i="1"/>
  <c r="T40" i="1"/>
  <c r="S37" i="1"/>
  <c r="S30" i="1"/>
  <c r="Q31" i="1"/>
  <c r="Q26" i="1"/>
  <c r="Q27" i="1"/>
  <c r="Q35" i="1"/>
  <c r="Q150" i="1"/>
  <c r="Q134" i="1"/>
  <c r="Q115" i="1"/>
  <c r="Q108" i="1"/>
  <c r="Q93" i="1"/>
  <c r="R81" i="1"/>
  <c r="Q76" i="1"/>
  <c r="Q68" i="1"/>
  <c r="Q66" i="1"/>
  <c r="R40" i="1"/>
  <c r="Q37" i="1"/>
  <c r="CC157" i="1" l="1"/>
  <c r="CA157" i="1"/>
  <c r="CE157" i="1"/>
  <c r="BW157" i="1"/>
  <c r="CG157" i="1"/>
  <c r="BU157" i="1"/>
  <c r="BY157" i="1"/>
  <c r="BS157" i="1"/>
  <c r="BQ157" i="1"/>
  <c r="BO157" i="1"/>
  <c r="BM157" i="1"/>
  <c r="BK157" i="1"/>
  <c r="BI157" i="1"/>
  <c r="Q114" i="1"/>
  <c r="S133" i="1"/>
  <c r="S114" i="1"/>
  <c r="S149" i="1"/>
  <c r="Q30" i="1"/>
  <c r="Q15" i="1"/>
  <c r="Q10" i="1" s="1"/>
  <c r="R10" i="1" s="1"/>
  <c r="S92" i="1"/>
  <c r="Q92" i="1"/>
  <c r="S52" i="1"/>
  <c r="S32" i="1"/>
  <c r="S25" i="1" s="1"/>
  <c r="Q32" i="1"/>
  <c r="Q25" i="1" s="1"/>
  <c r="Q149" i="1"/>
  <c r="Q133" i="1"/>
  <c r="Q53" i="1"/>
  <c r="Q83" i="1"/>
  <c r="Q156" i="1"/>
  <c r="O158" i="1"/>
  <c r="O142" i="1"/>
  <c r="O136" i="1"/>
  <c r="O141" i="1"/>
  <c r="O140" i="1"/>
  <c r="O139" i="1"/>
  <c r="O137" i="1"/>
  <c r="O135" i="1"/>
  <c r="O130" i="1"/>
  <c r="O123" i="1"/>
  <c r="O119" i="1"/>
  <c r="O121" i="1"/>
  <c r="O118" i="1"/>
  <c r="O106" i="1"/>
  <c r="O86" i="1"/>
  <c r="O90" i="1"/>
  <c r="O87" i="1"/>
  <c r="O89" i="1"/>
  <c r="O82" i="1"/>
  <c r="O72" i="1"/>
  <c r="O59" i="1"/>
  <c r="O64" i="1"/>
  <c r="O61" i="1"/>
  <c r="O57" i="1"/>
  <c r="O60" i="1"/>
  <c r="O54" i="1"/>
  <c r="O31" i="1"/>
  <c r="O15" i="1" s="1"/>
  <c r="O10" i="1" s="1"/>
  <c r="P10" i="1" s="1"/>
  <c r="O27" i="1"/>
  <c r="O26" i="1"/>
  <c r="O35" i="1"/>
  <c r="M158" i="1"/>
  <c r="M141" i="1"/>
  <c r="M136" i="1"/>
  <c r="S8" i="1" l="1"/>
  <c r="Q6" i="1"/>
  <c r="S50" i="1"/>
  <c r="S6" i="1"/>
  <c r="Q52" i="1"/>
  <c r="P81" i="1"/>
  <c r="P40" i="1"/>
  <c r="O30" i="1"/>
  <c r="O32" i="1"/>
  <c r="O37" i="1"/>
  <c r="O66" i="1"/>
  <c r="O68" i="1"/>
  <c r="O76" i="1"/>
  <c r="O93" i="1"/>
  <c r="O108" i="1"/>
  <c r="O115" i="1"/>
  <c r="O134" i="1"/>
  <c r="O150" i="1"/>
  <c r="O156" i="1"/>
  <c r="O25" i="1" l="1"/>
  <c r="Q8" i="1"/>
  <c r="Q50" i="1"/>
  <c r="O149" i="1"/>
  <c r="O133" i="1"/>
  <c r="O92" i="1"/>
  <c r="O114" i="1"/>
  <c r="O83" i="1"/>
  <c r="O53" i="1"/>
  <c r="M130" i="1"/>
  <c r="Y130" i="1" s="1"/>
  <c r="AA130" i="1" s="1"/>
  <c r="AD130" i="1" s="1"/>
  <c r="M123" i="1"/>
  <c r="M121" i="1"/>
  <c r="M106" i="1"/>
  <c r="M82" i="1"/>
  <c r="M62" i="1"/>
  <c r="M57" i="1"/>
  <c r="M54" i="1"/>
  <c r="M31" i="1"/>
  <c r="O6" i="1" l="1"/>
  <c r="O8" i="1"/>
  <c r="O52" i="1"/>
  <c r="K54" i="1"/>
  <c r="O50" i="1" l="1"/>
  <c r="M137" i="1"/>
  <c r="M140" i="1"/>
  <c r="M139" i="1"/>
  <c r="M135" i="1"/>
  <c r="M142" i="1"/>
  <c r="M146" i="1"/>
  <c r="M118" i="1"/>
  <c r="M119" i="1"/>
  <c r="M117" i="1"/>
  <c r="M124" i="1"/>
  <c r="M87" i="1"/>
  <c r="Y87" i="1" s="1"/>
  <c r="AA87" i="1" s="1"/>
  <c r="AB87" i="1" s="1"/>
  <c r="M86" i="1"/>
  <c r="M72" i="1"/>
  <c r="M60" i="1"/>
  <c r="M59" i="1"/>
  <c r="BD87" i="1" l="1"/>
  <c r="BE87" i="1" s="1"/>
  <c r="AZ87" i="1"/>
  <c r="AX87" i="1"/>
  <c r="AV87" i="1"/>
  <c r="AT87" i="1"/>
  <c r="AR87" i="1"/>
  <c r="AP87" i="1"/>
  <c r="AN87" i="1"/>
  <c r="AL87" i="1"/>
  <c r="BB87" i="1"/>
  <c r="AJ87" i="1"/>
  <c r="AH87" i="1"/>
  <c r="AD87" i="1"/>
  <c r="M61" i="1"/>
  <c r="M15" i="1" l="1"/>
  <c r="M10" i="1" s="1"/>
  <c r="N10" i="1" s="1"/>
  <c r="M26" i="1"/>
  <c r="M27" i="1"/>
  <c r="M35" i="1"/>
  <c r="M150" i="1"/>
  <c r="M149" i="1" s="1"/>
  <c r="M115" i="1"/>
  <c r="M108" i="1"/>
  <c r="M83" i="1"/>
  <c r="M76" i="1"/>
  <c r="M68" i="1"/>
  <c r="M66" i="1"/>
  <c r="M53" i="1"/>
  <c r="M37" i="1"/>
  <c r="M114" i="1" l="1"/>
  <c r="M52" i="1"/>
  <c r="M156" i="1"/>
  <c r="M30" i="1"/>
  <c r="M32" i="1"/>
  <c r="M93" i="1"/>
  <c r="M134" i="1"/>
  <c r="I54" i="1"/>
  <c r="I80" i="1"/>
  <c r="K80" i="1"/>
  <c r="M25" i="1" l="1"/>
  <c r="M8" i="1" s="1"/>
  <c r="Y80" i="1"/>
  <c r="AA80" i="1" s="1"/>
  <c r="M92" i="1"/>
  <c r="M133" i="1"/>
  <c r="K142" i="1"/>
  <c r="M6" i="1" l="1"/>
  <c r="M50" i="1"/>
  <c r="K64" i="1"/>
  <c r="K106" i="1" l="1"/>
  <c r="Z13" i="1" l="1"/>
  <c r="Z17" i="1"/>
  <c r="Z24" i="1"/>
  <c r="Z18" i="1"/>
  <c r="Z19" i="1"/>
  <c r="Z20" i="1"/>
  <c r="Z21" i="1"/>
  <c r="Z45" i="1"/>
  <c r="Z46" i="1"/>
  <c r="Z47" i="1"/>
  <c r="Z48" i="1"/>
  <c r="Z22" i="1"/>
  <c r="Z29" i="1"/>
  <c r="Z42" i="1"/>
  <c r="Z33" i="1"/>
  <c r="Z23" i="1"/>
  <c r="Z34" i="1"/>
  <c r="Z38" i="1"/>
  <c r="Z41" i="1"/>
  <c r="Z56" i="1"/>
  <c r="Z58" i="1"/>
  <c r="Z63" i="1"/>
  <c r="Z67" i="1"/>
  <c r="Z69" i="1"/>
  <c r="Z70" i="1"/>
  <c r="Z71" i="1"/>
  <c r="Z73" i="1"/>
  <c r="Z75" i="1"/>
  <c r="Z77" i="1"/>
  <c r="Z78" i="1"/>
  <c r="Z79" i="1"/>
  <c r="Z80" i="1"/>
  <c r="Z84" i="1"/>
  <c r="Z85" i="1"/>
  <c r="Z87" i="1"/>
  <c r="Z88" i="1"/>
  <c r="Z91" i="1"/>
  <c r="Z94" i="1"/>
  <c r="Z95" i="1"/>
  <c r="Z97" i="1"/>
  <c r="Z98" i="1"/>
  <c r="Z99" i="1"/>
  <c r="Z107" i="1"/>
  <c r="Z109" i="1"/>
  <c r="Z110" i="1"/>
  <c r="Z111" i="1"/>
  <c r="Z112" i="1"/>
  <c r="Z116" i="1"/>
  <c r="Z120" i="1"/>
  <c r="Z122" i="1"/>
  <c r="Z125" i="1"/>
  <c r="Z126" i="1"/>
  <c r="Z127" i="1"/>
  <c r="Z128" i="1"/>
  <c r="Z129" i="1"/>
  <c r="Z130" i="1"/>
  <c r="Z132" i="1"/>
  <c r="Z138" i="1"/>
  <c r="Z143" i="1"/>
  <c r="Z145" i="1"/>
  <c r="Z147" i="1"/>
  <c r="Z148" i="1"/>
  <c r="Z151" i="1"/>
  <c r="Z153" i="1"/>
  <c r="Z154" i="1"/>
  <c r="Z157" i="1"/>
  <c r="Z159" i="1"/>
  <c r="K158" i="1"/>
  <c r="K136" i="1"/>
  <c r="K137" i="1"/>
  <c r="K139" i="1"/>
  <c r="K61" i="1"/>
  <c r="K123" i="1"/>
  <c r="K118" i="1"/>
  <c r="K119" i="1"/>
  <c r="K121" i="1"/>
  <c r="K117" i="1"/>
  <c r="K86" i="1"/>
  <c r="K89" i="1"/>
  <c r="Y89" i="1" s="1"/>
  <c r="AA89" i="1" s="1"/>
  <c r="AB89" i="1" s="1"/>
  <c r="K82" i="1"/>
  <c r="K60" i="1"/>
  <c r="K59" i="1"/>
  <c r="K57" i="1"/>
  <c r="BD89" i="1" l="1"/>
  <c r="BE89" i="1" s="1"/>
  <c r="AZ89" i="1"/>
  <c r="AX89" i="1"/>
  <c r="AV89" i="1"/>
  <c r="AT89" i="1"/>
  <c r="AR89" i="1"/>
  <c r="AP89" i="1"/>
  <c r="AN89" i="1"/>
  <c r="BB89" i="1"/>
  <c r="AL89" i="1"/>
  <c r="AJ89" i="1"/>
  <c r="AH89" i="1"/>
  <c r="AD89" i="1"/>
  <c r="Z89" i="1"/>
  <c r="K43" i="1"/>
  <c r="Y43" i="1" s="1"/>
  <c r="AA43" i="1" s="1"/>
  <c r="AD43" i="1" s="1"/>
  <c r="K26" i="1"/>
  <c r="K27" i="1"/>
  <c r="K35" i="1"/>
  <c r="K156" i="1"/>
  <c r="K150" i="1"/>
  <c r="K149" i="1" s="1"/>
  <c r="K134" i="1"/>
  <c r="K108" i="1"/>
  <c r="K93" i="1"/>
  <c r="K83" i="1"/>
  <c r="K76" i="1"/>
  <c r="K68" i="1"/>
  <c r="K66" i="1"/>
  <c r="K53" i="1"/>
  <c r="K30" i="1"/>
  <c r="Z43" i="1" l="1"/>
  <c r="Z12" i="1"/>
  <c r="K37" i="1"/>
  <c r="K15" i="1"/>
  <c r="K10" i="1" s="1"/>
  <c r="L10" i="1" s="1"/>
  <c r="K133" i="1"/>
  <c r="K92" i="1"/>
  <c r="K52" i="1"/>
  <c r="K115" i="1"/>
  <c r="K32" i="1"/>
  <c r="I158" i="1"/>
  <c r="I160" i="1"/>
  <c r="Y160" i="1" s="1"/>
  <c r="AA160" i="1" s="1"/>
  <c r="AB160" i="1" s="1"/>
  <c r="I74" i="1"/>
  <c r="Y74" i="1" s="1"/>
  <c r="AA74" i="1" s="1"/>
  <c r="AB74" i="1" s="1"/>
  <c r="I152" i="1"/>
  <c r="I136" i="1"/>
  <c r="I82" i="1"/>
  <c r="I141" i="1"/>
  <c r="I140" i="1"/>
  <c r="I139" i="1"/>
  <c r="I137" i="1"/>
  <c r="I135" i="1"/>
  <c r="I142" i="1"/>
  <c r="I146" i="1"/>
  <c r="Y146" i="1" s="1"/>
  <c r="AA146" i="1" s="1"/>
  <c r="I86" i="1"/>
  <c r="Y86" i="1" s="1"/>
  <c r="AA86" i="1" s="1"/>
  <c r="AB86" i="1" s="1"/>
  <c r="I123" i="1"/>
  <c r="I117" i="1"/>
  <c r="I118" i="1"/>
  <c r="I119" i="1"/>
  <c r="I121" i="1"/>
  <c r="I124" i="1"/>
  <c r="Y124" i="1" s="1"/>
  <c r="AA124" i="1" s="1"/>
  <c r="AB124" i="1" s="1"/>
  <c r="I106" i="1"/>
  <c r="Y106" i="1" s="1"/>
  <c r="AA106" i="1" s="1"/>
  <c r="I76" i="1"/>
  <c r="I90" i="1"/>
  <c r="I72" i="1"/>
  <c r="Y72" i="1" s="1"/>
  <c r="AA72" i="1" s="1"/>
  <c r="AB72" i="1" s="1"/>
  <c r="I60" i="1"/>
  <c r="I59" i="1"/>
  <c r="I62" i="1"/>
  <c r="I57" i="1"/>
  <c r="I61" i="1"/>
  <c r="I65" i="1"/>
  <c r="Y65" i="1" s="1"/>
  <c r="AA65" i="1" s="1"/>
  <c r="AB65" i="1" s="1"/>
  <c r="I31" i="1"/>
  <c r="I15" i="1" s="1"/>
  <c r="I10" i="1" s="1"/>
  <c r="J10" i="1" s="1"/>
  <c r="I26" i="1"/>
  <c r="Y26" i="1" s="1"/>
  <c r="AA26" i="1" s="1"/>
  <c r="AD26" i="1" s="1"/>
  <c r="I27" i="1"/>
  <c r="I35" i="1"/>
  <c r="K25" i="1" l="1"/>
  <c r="BD65" i="1"/>
  <c r="BE65" i="1" s="1"/>
  <c r="AZ65" i="1"/>
  <c r="AX65" i="1"/>
  <c r="AV65" i="1"/>
  <c r="AT65" i="1"/>
  <c r="AR65" i="1"/>
  <c r="AP65" i="1"/>
  <c r="AN65" i="1"/>
  <c r="BB65" i="1"/>
  <c r="AL65" i="1"/>
  <c r="AJ65" i="1"/>
  <c r="AH65" i="1"/>
  <c r="AD65" i="1"/>
  <c r="BD86" i="1"/>
  <c r="AZ86" i="1"/>
  <c r="AX86" i="1"/>
  <c r="AV86" i="1"/>
  <c r="AT86" i="1"/>
  <c r="AR86" i="1"/>
  <c r="AP86" i="1"/>
  <c r="AN86" i="1"/>
  <c r="BB86" i="1"/>
  <c r="AL86" i="1"/>
  <c r="AJ86" i="1"/>
  <c r="AH86" i="1"/>
  <c r="AD86" i="1"/>
  <c r="BD160" i="1"/>
  <c r="BE160" i="1" s="1"/>
  <c r="BF160" i="1" s="1"/>
  <c r="BG160" i="1" s="1"/>
  <c r="AZ160" i="1"/>
  <c r="AX160" i="1"/>
  <c r="AV160" i="1"/>
  <c r="AT160" i="1"/>
  <c r="AR160" i="1"/>
  <c r="AP160" i="1"/>
  <c r="AN160" i="1"/>
  <c r="BB160" i="1"/>
  <c r="AL160" i="1"/>
  <c r="AJ160" i="1"/>
  <c r="AH160" i="1"/>
  <c r="AD160" i="1"/>
  <c r="AZ72" i="1"/>
  <c r="AX72" i="1"/>
  <c r="AV72" i="1"/>
  <c r="AT72" i="1"/>
  <c r="AR72" i="1"/>
  <c r="AP72" i="1"/>
  <c r="AN72" i="1"/>
  <c r="AL72" i="1"/>
  <c r="AJ72" i="1"/>
  <c r="BB72" i="1"/>
  <c r="AH72" i="1"/>
  <c r="AD72" i="1"/>
  <c r="AB68" i="1"/>
  <c r="BD124" i="1"/>
  <c r="BE124" i="1" s="1"/>
  <c r="AZ124" i="1"/>
  <c r="AX124" i="1"/>
  <c r="AV124" i="1"/>
  <c r="AT124" i="1"/>
  <c r="AR124" i="1"/>
  <c r="AP124" i="1"/>
  <c r="AN124" i="1"/>
  <c r="BB124" i="1"/>
  <c r="AL124" i="1"/>
  <c r="AJ124" i="1"/>
  <c r="AH124" i="1"/>
  <c r="AD124" i="1"/>
  <c r="BD74" i="1"/>
  <c r="AZ74" i="1"/>
  <c r="AX74" i="1"/>
  <c r="AT74" i="1"/>
  <c r="AV74" i="1"/>
  <c r="AR74" i="1"/>
  <c r="AN74" i="1"/>
  <c r="AP74" i="1"/>
  <c r="BB74" i="1"/>
  <c r="AL74" i="1"/>
  <c r="AJ74" i="1"/>
  <c r="AH74" i="1"/>
  <c r="AD74" i="1"/>
  <c r="Z74" i="1"/>
  <c r="Z86" i="1"/>
  <c r="Z160" i="1"/>
  <c r="Z146" i="1"/>
  <c r="Z65" i="1"/>
  <c r="Z106" i="1"/>
  <c r="Z26" i="1"/>
  <c r="Z72" i="1"/>
  <c r="Z124" i="1"/>
  <c r="K8" i="1"/>
  <c r="K114" i="1"/>
  <c r="I32" i="1"/>
  <c r="I37" i="1"/>
  <c r="I53" i="1"/>
  <c r="I66" i="1"/>
  <c r="I68" i="1"/>
  <c r="I93" i="1"/>
  <c r="I108" i="1"/>
  <c r="I115" i="1"/>
  <c r="I134" i="1"/>
  <c r="I150" i="1"/>
  <c r="I149" i="1" s="1"/>
  <c r="I156" i="1"/>
  <c r="CG160" i="1" l="1"/>
  <c r="CE160" i="1"/>
  <c r="CC160" i="1"/>
  <c r="CA160" i="1"/>
  <c r="BY160" i="1"/>
  <c r="BW160" i="1"/>
  <c r="BO160" i="1"/>
  <c r="BS160" i="1"/>
  <c r="BQ160" i="1"/>
  <c r="BU160" i="1"/>
  <c r="BM160" i="1"/>
  <c r="BK160" i="1"/>
  <c r="BI160" i="1"/>
  <c r="BE74" i="1"/>
  <c r="BD68" i="1"/>
  <c r="BE68" i="1" s="1"/>
  <c r="BE86" i="1"/>
  <c r="AZ68" i="1"/>
  <c r="AX68" i="1"/>
  <c r="AV68" i="1"/>
  <c r="AT68" i="1"/>
  <c r="AR68" i="1"/>
  <c r="AP68" i="1"/>
  <c r="AN68" i="1"/>
  <c r="AL68" i="1"/>
  <c r="AJ68" i="1"/>
  <c r="BB68" i="1"/>
  <c r="AH68" i="1"/>
  <c r="K6" i="1"/>
  <c r="K50" i="1"/>
  <c r="I92" i="1"/>
  <c r="I133" i="1"/>
  <c r="I114" i="1"/>
  <c r="I83" i="1"/>
  <c r="I30" i="1"/>
  <c r="I25" i="1" s="1"/>
  <c r="G158" i="1"/>
  <c r="Y158" i="1" s="1"/>
  <c r="AA158" i="1" s="1"/>
  <c r="G155" i="1"/>
  <c r="Y155" i="1" s="1"/>
  <c r="AA155" i="1" s="1"/>
  <c r="AD155" i="1" s="1"/>
  <c r="G152" i="1"/>
  <c r="Y152" i="1" s="1"/>
  <c r="AA152" i="1" s="1"/>
  <c r="G136" i="1"/>
  <c r="Y136" i="1" s="1"/>
  <c r="AA136" i="1" s="1"/>
  <c r="AB136" i="1" s="1"/>
  <c r="G141" i="1"/>
  <c r="Y141" i="1" s="1"/>
  <c r="AA141" i="1" s="1"/>
  <c r="AB141" i="1" s="1"/>
  <c r="G137" i="1"/>
  <c r="Y137" i="1" s="1"/>
  <c r="AA137" i="1" s="1"/>
  <c r="AD137" i="1" s="1"/>
  <c r="G140" i="1"/>
  <c r="Y140" i="1" s="1"/>
  <c r="AA140" i="1" s="1"/>
  <c r="AD140" i="1" s="1"/>
  <c r="G139" i="1"/>
  <c r="Y139" i="1" s="1"/>
  <c r="AA139" i="1" s="1"/>
  <c r="AD139" i="1" s="1"/>
  <c r="G135" i="1"/>
  <c r="Y135" i="1" s="1"/>
  <c r="AA135" i="1" s="1"/>
  <c r="G142" i="1"/>
  <c r="Y142" i="1" s="1"/>
  <c r="AA142" i="1" s="1"/>
  <c r="AD142" i="1" s="1"/>
  <c r="G117" i="1"/>
  <c r="Y117" i="1" s="1"/>
  <c r="AA117" i="1" s="1"/>
  <c r="AD117" i="1" s="1"/>
  <c r="G123" i="1"/>
  <c r="Y123" i="1" s="1"/>
  <c r="AA123" i="1" s="1"/>
  <c r="AB123" i="1" s="1"/>
  <c r="G118" i="1"/>
  <c r="Y118" i="1" s="1"/>
  <c r="AA118" i="1" s="1"/>
  <c r="AD118" i="1" s="1"/>
  <c r="G119" i="1"/>
  <c r="Y119" i="1" s="1"/>
  <c r="AA119" i="1" s="1"/>
  <c r="AD119" i="1" s="1"/>
  <c r="G121" i="1"/>
  <c r="Y121" i="1" s="1"/>
  <c r="AA121" i="1" s="1"/>
  <c r="AD121" i="1" s="1"/>
  <c r="G90" i="1"/>
  <c r="Y90" i="1" s="1"/>
  <c r="AA90" i="1" s="1"/>
  <c r="AB90" i="1" s="1"/>
  <c r="G82" i="1"/>
  <c r="Y82" i="1" s="1"/>
  <c r="AA82" i="1" s="1"/>
  <c r="AB82" i="1" s="1"/>
  <c r="G54" i="1"/>
  <c r="Y54" i="1" s="1"/>
  <c r="AA54" i="1" s="1"/>
  <c r="AD54" i="1" s="1"/>
  <c r="G59" i="1"/>
  <c r="Y59" i="1" s="1"/>
  <c r="AA59" i="1" s="1"/>
  <c r="AD59" i="1" s="1"/>
  <c r="G57" i="1"/>
  <c r="Y57" i="1" s="1"/>
  <c r="AA57" i="1" s="1"/>
  <c r="AD57" i="1" s="1"/>
  <c r="G60" i="1"/>
  <c r="Y60" i="1" s="1"/>
  <c r="AA60" i="1" s="1"/>
  <c r="AD60" i="1" s="1"/>
  <c r="G62" i="1"/>
  <c r="Y62" i="1" s="1"/>
  <c r="AA62" i="1" s="1"/>
  <c r="AB62" i="1" s="1"/>
  <c r="G64" i="1"/>
  <c r="Y64" i="1" s="1"/>
  <c r="AA64" i="1" s="1"/>
  <c r="AB64" i="1" s="1"/>
  <c r="G61" i="1"/>
  <c r="Y61" i="1" s="1"/>
  <c r="AA61" i="1" s="1"/>
  <c r="AB61" i="1" s="1"/>
  <c r="BD90" i="1" l="1"/>
  <c r="AZ90" i="1"/>
  <c r="AX90" i="1"/>
  <c r="AV90" i="1"/>
  <c r="AT90" i="1"/>
  <c r="AR90" i="1"/>
  <c r="AP90" i="1"/>
  <c r="AN90" i="1"/>
  <c r="BB90" i="1"/>
  <c r="AL90" i="1"/>
  <c r="AJ90" i="1"/>
  <c r="AH90" i="1"/>
  <c r="AD90" i="1"/>
  <c r="AB83" i="1"/>
  <c r="AB150" i="1"/>
  <c r="AB149" i="1" s="1"/>
  <c r="AD152" i="1"/>
  <c r="BD136" i="1"/>
  <c r="AZ136" i="1"/>
  <c r="AX136" i="1"/>
  <c r="AV136" i="1"/>
  <c r="AT136" i="1"/>
  <c r="AR136" i="1"/>
  <c r="AP136" i="1"/>
  <c r="AN136" i="1"/>
  <c r="AL136" i="1"/>
  <c r="AJ136" i="1"/>
  <c r="BB136" i="1"/>
  <c r="AH136" i="1"/>
  <c r="AD136" i="1"/>
  <c r="BD64" i="1"/>
  <c r="BE64" i="1" s="1"/>
  <c r="AZ64" i="1"/>
  <c r="AX64" i="1"/>
  <c r="AV64" i="1"/>
  <c r="AR64" i="1"/>
  <c r="AT64" i="1"/>
  <c r="AP64" i="1"/>
  <c r="AN64" i="1"/>
  <c r="BB64" i="1"/>
  <c r="AL64" i="1"/>
  <c r="AJ64" i="1"/>
  <c r="AH64" i="1"/>
  <c r="AD64" i="1"/>
  <c r="BD61" i="1"/>
  <c r="AZ61" i="1"/>
  <c r="AX61" i="1"/>
  <c r="AV61" i="1"/>
  <c r="AT61" i="1"/>
  <c r="AR61" i="1"/>
  <c r="AP61" i="1"/>
  <c r="AN61" i="1"/>
  <c r="AL61" i="1"/>
  <c r="AJ61" i="1"/>
  <c r="BB61" i="1"/>
  <c r="AH61" i="1"/>
  <c r="AD61" i="1"/>
  <c r="AB53" i="1"/>
  <c r="BD123" i="1"/>
  <c r="AZ123" i="1"/>
  <c r="AX123" i="1"/>
  <c r="AV123" i="1"/>
  <c r="AT123" i="1"/>
  <c r="AR123" i="1"/>
  <c r="AP123" i="1"/>
  <c r="AN123" i="1"/>
  <c r="AL123" i="1"/>
  <c r="AJ123" i="1"/>
  <c r="BB123" i="1"/>
  <c r="AH123" i="1"/>
  <c r="AD123" i="1"/>
  <c r="AB115" i="1"/>
  <c r="AZ62" i="1"/>
  <c r="AX62" i="1"/>
  <c r="AV62" i="1"/>
  <c r="AT62" i="1"/>
  <c r="AR62" i="1"/>
  <c r="AP62" i="1"/>
  <c r="AN62" i="1"/>
  <c r="AL62" i="1"/>
  <c r="AJ62" i="1"/>
  <c r="BB62" i="1"/>
  <c r="AH62" i="1"/>
  <c r="AD62" i="1"/>
  <c r="AD82" i="1"/>
  <c r="AZ82" i="1"/>
  <c r="AX82" i="1"/>
  <c r="AV82" i="1"/>
  <c r="AT82" i="1"/>
  <c r="AR82" i="1"/>
  <c r="AP82" i="1"/>
  <c r="AN82" i="1"/>
  <c r="AL82" i="1"/>
  <c r="AJ82" i="1"/>
  <c r="BB82" i="1"/>
  <c r="AH82" i="1"/>
  <c r="AB76" i="1"/>
  <c r="BD141" i="1"/>
  <c r="BE141" i="1" s="1"/>
  <c r="AZ141" i="1"/>
  <c r="AX141" i="1"/>
  <c r="AV141" i="1"/>
  <c r="AT141" i="1"/>
  <c r="AR141" i="1"/>
  <c r="AP141" i="1"/>
  <c r="AN141" i="1"/>
  <c r="AL141" i="1"/>
  <c r="AJ141" i="1"/>
  <c r="BB141" i="1"/>
  <c r="AH141" i="1"/>
  <c r="AD141" i="1"/>
  <c r="AB158" i="1"/>
  <c r="AB156" i="1" s="1"/>
  <c r="AD135" i="1"/>
  <c r="AB134" i="1"/>
  <c r="Z61" i="1"/>
  <c r="Z90" i="1"/>
  <c r="Z136" i="1"/>
  <c r="Z64" i="1"/>
  <c r="Z59" i="1"/>
  <c r="Z121" i="1"/>
  <c r="Z117" i="1"/>
  <c r="Z140" i="1"/>
  <c r="Z152" i="1"/>
  <c r="Z123" i="1"/>
  <c r="Z62" i="1"/>
  <c r="Z142" i="1"/>
  <c r="Z137" i="1"/>
  <c r="Z155" i="1"/>
  <c r="Z57" i="1"/>
  <c r="Z139" i="1"/>
  <c r="Z54" i="1"/>
  <c r="Z119" i="1"/>
  <c r="Z60" i="1"/>
  <c r="Z118" i="1"/>
  <c r="Z135" i="1"/>
  <c r="Z141" i="1"/>
  <c r="Z158" i="1"/>
  <c r="Z82" i="1"/>
  <c r="G76" i="1"/>
  <c r="Y76" i="1" s="1"/>
  <c r="AA76" i="1" s="1"/>
  <c r="I52" i="1"/>
  <c r="I6" i="1"/>
  <c r="I8" i="1"/>
  <c r="G35" i="1"/>
  <c r="Y35" i="1" s="1"/>
  <c r="AA35" i="1" s="1"/>
  <c r="AB35" i="1" s="1"/>
  <c r="G14" i="1"/>
  <c r="G31" i="1"/>
  <c r="Y31" i="1" s="1"/>
  <c r="AA31" i="1" s="1"/>
  <c r="AD31" i="1" s="1"/>
  <c r="G27" i="1"/>
  <c r="Y27" i="1" s="1"/>
  <c r="AA27" i="1" s="1"/>
  <c r="AD27" i="1" s="1"/>
  <c r="G156" i="1"/>
  <c r="Y156" i="1" s="1"/>
  <c r="AA156" i="1" s="1"/>
  <c r="G150" i="1"/>
  <c r="Y150" i="1" s="1"/>
  <c r="AA150" i="1" s="1"/>
  <c r="G134" i="1"/>
  <c r="Y134" i="1" s="1"/>
  <c r="AA134" i="1" s="1"/>
  <c r="G115" i="1"/>
  <c r="Y115" i="1" s="1"/>
  <c r="AA115" i="1" s="1"/>
  <c r="G108" i="1"/>
  <c r="Y108" i="1" s="1"/>
  <c r="AA108" i="1" s="1"/>
  <c r="AD108" i="1" s="1"/>
  <c r="G93" i="1"/>
  <c r="Y93" i="1" s="1"/>
  <c r="AA93" i="1" s="1"/>
  <c r="G83" i="1"/>
  <c r="Y83" i="1" s="1"/>
  <c r="AA83" i="1" s="1"/>
  <c r="G68" i="1"/>
  <c r="Y68" i="1" s="1"/>
  <c r="AA68" i="1" s="1"/>
  <c r="AD68" i="1" s="1"/>
  <c r="G66" i="1"/>
  <c r="Y66" i="1" s="1"/>
  <c r="AA66" i="1" s="1"/>
  <c r="AD66" i="1" s="1"/>
  <c r="G53" i="1"/>
  <c r="Y53" i="1" s="1"/>
  <c r="AA53" i="1" s="1"/>
  <c r="G37" i="1"/>
  <c r="Y37" i="1" s="1"/>
  <c r="AA37" i="1" s="1"/>
  <c r="F160" i="1"/>
  <c r="F159" i="1"/>
  <c r="F158" i="1"/>
  <c r="H158" i="1" s="1"/>
  <c r="F157" i="1"/>
  <c r="F156" i="1"/>
  <c r="F155" i="1"/>
  <c r="F154" i="1"/>
  <c r="F153" i="1"/>
  <c r="F152" i="1"/>
  <c r="F151" i="1"/>
  <c r="F150" i="1"/>
  <c r="F149" i="1"/>
  <c r="F148" i="1"/>
  <c r="X148" i="1" s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2" i="1"/>
  <c r="F111" i="1"/>
  <c r="F110" i="1"/>
  <c r="F109" i="1"/>
  <c r="F108" i="1"/>
  <c r="F107" i="1"/>
  <c r="F106" i="1"/>
  <c r="F99" i="1"/>
  <c r="F98" i="1"/>
  <c r="X98" i="1" s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X83" i="1" s="1"/>
  <c r="F82" i="1"/>
  <c r="F80" i="1"/>
  <c r="F79" i="1"/>
  <c r="F78" i="1"/>
  <c r="F77" i="1"/>
  <c r="F76" i="1"/>
  <c r="F75" i="1"/>
  <c r="F74" i="1"/>
  <c r="F73" i="1"/>
  <c r="F72" i="1"/>
  <c r="F71" i="1"/>
  <c r="F70" i="1"/>
  <c r="X70" i="1" s="1"/>
  <c r="F69" i="1"/>
  <c r="F68" i="1"/>
  <c r="F67" i="1"/>
  <c r="F66" i="1"/>
  <c r="F65" i="1"/>
  <c r="F64" i="1"/>
  <c r="F63" i="1"/>
  <c r="F62" i="1"/>
  <c r="F61" i="1"/>
  <c r="F60" i="1"/>
  <c r="X60" i="1" s="1"/>
  <c r="F59" i="1"/>
  <c r="F58" i="1"/>
  <c r="F57" i="1"/>
  <c r="F56" i="1"/>
  <c r="X56" i="1" s="1"/>
  <c r="F54" i="1"/>
  <c r="F53" i="1"/>
  <c r="F52" i="1"/>
  <c r="F50" i="1"/>
  <c r="F43" i="1"/>
  <c r="F41" i="1"/>
  <c r="F38" i="1"/>
  <c r="X38" i="1" s="1"/>
  <c r="F37" i="1"/>
  <c r="F34" i="1"/>
  <c r="F36" i="1"/>
  <c r="F23" i="1"/>
  <c r="F14" i="1"/>
  <c r="F35" i="1"/>
  <c r="F33" i="1"/>
  <c r="F32" i="1"/>
  <c r="F31" i="1"/>
  <c r="F30" i="1"/>
  <c r="F6" i="1"/>
  <c r="F8" i="1"/>
  <c r="F25" i="1"/>
  <c r="F27" i="1"/>
  <c r="F29" i="1"/>
  <c r="F42" i="1"/>
  <c r="F26" i="1"/>
  <c r="F13" i="1"/>
  <c r="F17" i="1"/>
  <c r="F24" i="1"/>
  <c r="F18" i="1"/>
  <c r="F19" i="1"/>
  <c r="F20" i="1"/>
  <c r="F21" i="1"/>
  <c r="F45" i="1"/>
  <c r="F46" i="1"/>
  <c r="F47" i="1"/>
  <c r="F48" i="1"/>
  <c r="F22" i="1"/>
  <c r="F15" i="1"/>
  <c r="F12" i="1"/>
  <c r="X12" i="1" s="1"/>
  <c r="Y14" i="1" l="1"/>
  <c r="AA14" i="1" s="1"/>
  <c r="AB14" i="1" s="1"/>
  <c r="AB10" i="1" s="1"/>
  <c r="AD150" i="1"/>
  <c r="AD156" i="1"/>
  <c r="AB133" i="1"/>
  <c r="AZ134" i="1"/>
  <c r="AX134" i="1"/>
  <c r="AV134" i="1"/>
  <c r="AT134" i="1"/>
  <c r="AR134" i="1"/>
  <c r="AP134" i="1"/>
  <c r="AN134" i="1"/>
  <c r="AL134" i="1"/>
  <c r="AJ134" i="1"/>
  <c r="AH134" i="1"/>
  <c r="BB134" i="1"/>
  <c r="AZ76" i="1"/>
  <c r="AX76" i="1"/>
  <c r="AV76" i="1"/>
  <c r="AR76" i="1"/>
  <c r="AT76" i="1"/>
  <c r="AP76" i="1"/>
  <c r="AN76" i="1"/>
  <c r="AL76" i="1"/>
  <c r="BB76" i="1"/>
  <c r="AJ76" i="1"/>
  <c r="AH76" i="1"/>
  <c r="BE61" i="1"/>
  <c r="BD53" i="1"/>
  <c r="AZ150" i="1"/>
  <c r="AX150" i="1"/>
  <c r="AV150" i="1"/>
  <c r="AT150" i="1"/>
  <c r="AR150" i="1"/>
  <c r="AP150" i="1"/>
  <c r="AN150" i="1"/>
  <c r="AL150" i="1"/>
  <c r="AJ150" i="1"/>
  <c r="BB150" i="1"/>
  <c r="AH150" i="1"/>
  <c r="BD35" i="1"/>
  <c r="AZ35" i="1"/>
  <c r="AX35" i="1"/>
  <c r="AV35" i="1"/>
  <c r="AT35" i="1"/>
  <c r="AR35" i="1"/>
  <c r="AP35" i="1"/>
  <c r="AN35" i="1"/>
  <c r="AL35" i="1"/>
  <c r="AJ35" i="1"/>
  <c r="BB35" i="1"/>
  <c r="AH35" i="1"/>
  <c r="AD35" i="1"/>
  <c r="AB32" i="1"/>
  <c r="AB25" i="1" s="1"/>
  <c r="BD158" i="1"/>
  <c r="AZ158" i="1"/>
  <c r="AX158" i="1"/>
  <c r="AV158" i="1"/>
  <c r="AT158" i="1"/>
  <c r="AR158" i="1"/>
  <c r="AP158" i="1"/>
  <c r="AN158" i="1"/>
  <c r="AL158" i="1"/>
  <c r="AJ158" i="1"/>
  <c r="BB158" i="1"/>
  <c r="AH158" i="1"/>
  <c r="AD158" i="1"/>
  <c r="AB114" i="1"/>
  <c r="AZ115" i="1"/>
  <c r="AX115" i="1"/>
  <c r="AV115" i="1"/>
  <c r="AT115" i="1"/>
  <c r="AP115" i="1"/>
  <c r="AR115" i="1"/>
  <c r="AN115" i="1"/>
  <c r="AL115" i="1"/>
  <c r="AJ115" i="1"/>
  <c r="AH115" i="1"/>
  <c r="BB115" i="1"/>
  <c r="AD83" i="1"/>
  <c r="AZ83" i="1"/>
  <c r="AX83" i="1"/>
  <c r="AV83" i="1"/>
  <c r="AT83" i="1"/>
  <c r="AR83" i="1"/>
  <c r="AP83" i="1"/>
  <c r="AN83" i="1"/>
  <c r="AL83" i="1"/>
  <c r="AJ83" i="1"/>
  <c r="AH83" i="1"/>
  <c r="BB83" i="1"/>
  <c r="AZ53" i="1"/>
  <c r="AX53" i="1"/>
  <c r="AV53" i="1"/>
  <c r="AT53" i="1"/>
  <c r="AR53" i="1"/>
  <c r="AP53" i="1"/>
  <c r="AN53" i="1"/>
  <c r="AL53" i="1"/>
  <c r="AJ53" i="1"/>
  <c r="BB53" i="1"/>
  <c r="AH53" i="1"/>
  <c r="AD53" i="1"/>
  <c r="AB52" i="1"/>
  <c r="AZ14" i="1"/>
  <c r="AX14" i="1"/>
  <c r="AR14" i="1"/>
  <c r="AP14" i="1"/>
  <c r="AL14" i="1"/>
  <c r="AJ14" i="1"/>
  <c r="AZ149" i="1"/>
  <c r="AX149" i="1"/>
  <c r="AV149" i="1"/>
  <c r="AT149" i="1"/>
  <c r="AR149" i="1"/>
  <c r="AP149" i="1"/>
  <c r="AN149" i="1"/>
  <c r="AL149" i="1"/>
  <c r="AH149" i="1"/>
  <c r="AJ149" i="1"/>
  <c r="BB149" i="1"/>
  <c r="AZ156" i="1"/>
  <c r="AX156" i="1"/>
  <c r="AV156" i="1"/>
  <c r="AT156" i="1"/>
  <c r="AP156" i="1"/>
  <c r="AR156" i="1"/>
  <c r="AN156" i="1"/>
  <c r="AL156" i="1"/>
  <c r="AJ156" i="1"/>
  <c r="BB156" i="1"/>
  <c r="AH156" i="1"/>
  <c r="BE123" i="1"/>
  <c r="BD115" i="1"/>
  <c r="BE136" i="1"/>
  <c r="BD134" i="1"/>
  <c r="BE90" i="1"/>
  <c r="BD83" i="1"/>
  <c r="BE83" i="1" s="1"/>
  <c r="V15" i="1"/>
  <c r="X15" i="1"/>
  <c r="V17" i="1"/>
  <c r="X17" i="1"/>
  <c r="V23" i="1"/>
  <c r="X23" i="1"/>
  <c r="V61" i="1"/>
  <c r="X61" i="1"/>
  <c r="V77" i="1"/>
  <c r="X77" i="1"/>
  <c r="V90" i="1"/>
  <c r="X90" i="1"/>
  <c r="V112" i="1"/>
  <c r="X112" i="1"/>
  <c r="V129" i="1"/>
  <c r="X129" i="1"/>
  <c r="V149" i="1"/>
  <c r="X149" i="1"/>
  <c r="V19" i="1"/>
  <c r="X19" i="1"/>
  <c r="V91" i="1"/>
  <c r="X91" i="1"/>
  <c r="V109" i="1"/>
  <c r="X109" i="1"/>
  <c r="V118" i="1"/>
  <c r="X118" i="1"/>
  <c r="V122" i="1"/>
  <c r="X122" i="1"/>
  <c r="V126" i="1"/>
  <c r="X126" i="1"/>
  <c r="V130" i="1"/>
  <c r="X130" i="1"/>
  <c r="V134" i="1"/>
  <c r="X134" i="1"/>
  <c r="V138" i="1"/>
  <c r="X138" i="1"/>
  <c r="V142" i="1"/>
  <c r="X142" i="1"/>
  <c r="V146" i="1"/>
  <c r="X146" i="1"/>
  <c r="V150" i="1"/>
  <c r="X150" i="1"/>
  <c r="V154" i="1"/>
  <c r="X154" i="1"/>
  <c r="V158" i="1"/>
  <c r="X158" i="1"/>
  <c r="H126" i="1"/>
  <c r="V20" i="1"/>
  <c r="X20" i="1"/>
  <c r="V29" i="1"/>
  <c r="X29" i="1"/>
  <c r="V32" i="1"/>
  <c r="X32" i="1"/>
  <c r="V52" i="1"/>
  <c r="X52" i="1"/>
  <c r="V65" i="1"/>
  <c r="X65" i="1"/>
  <c r="V73" i="1"/>
  <c r="X73" i="1"/>
  <c r="V86" i="1"/>
  <c r="X86" i="1"/>
  <c r="V94" i="1"/>
  <c r="X94" i="1"/>
  <c r="V108" i="1"/>
  <c r="X108" i="1"/>
  <c r="V121" i="1"/>
  <c r="X121" i="1"/>
  <c r="V133" i="1"/>
  <c r="X133" i="1"/>
  <c r="V141" i="1"/>
  <c r="X141" i="1"/>
  <c r="V153" i="1"/>
  <c r="X153" i="1"/>
  <c r="V13" i="1"/>
  <c r="X13" i="1"/>
  <c r="V6" i="1"/>
  <c r="X6" i="1"/>
  <c r="V53" i="1"/>
  <c r="X53" i="1"/>
  <c r="V62" i="1"/>
  <c r="X62" i="1"/>
  <c r="V74" i="1"/>
  <c r="X74" i="1"/>
  <c r="V78" i="1"/>
  <c r="X78" i="1"/>
  <c r="V87" i="1"/>
  <c r="X87" i="1"/>
  <c r="V99" i="1"/>
  <c r="X99" i="1"/>
  <c r="V114" i="1"/>
  <c r="X114" i="1"/>
  <c r="V22" i="1"/>
  <c r="X22" i="1"/>
  <c r="V45" i="1"/>
  <c r="X45" i="1"/>
  <c r="V18" i="1"/>
  <c r="X18" i="1"/>
  <c r="V26" i="1"/>
  <c r="X26" i="1"/>
  <c r="V25" i="1"/>
  <c r="X25" i="1"/>
  <c r="V30" i="1"/>
  <c r="X30" i="1"/>
  <c r="V35" i="1"/>
  <c r="X35" i="1"/>
  <c r="V34" i="1"/>
  <c r="X34" i="1"/>
  <c r="V43" i="1"/>
  <c r="X43" i="1"/>
  <c r="V54" i="1"/>
  <c r="X54" i="1"/>
  <c r="V59" i="1"/>
  <c r="X59" i="1"/>
  <c r="V63" i="1"/>
  <c r="X63" i="1"/>
  <c r="V67" i="1"/>
  <c r="X67" i="1"/>
  <c r="V71" i="1"/>
  <c r="X71" i="1"/>
  <c r="V75" i="1"/>
  <c r="X75" i="1"/>
  <c r="V79" i="1"/>
  <c r="X79" i="1"/>
  <c r="V84" i="1"/>
  <c r="X84" i="1"/>
  <c r="V88" i="1"/>
  <c r="X88" i="1"/>
  <c r="V92" i="1"/>
  <c r="X92" i="1"/>
  <c r="V96" i="1"/>
  <c r="X96" i="1"/>
  <c r="V106" i="1"/>
  <c r="X106" i="1"/>
  <c r="V110" i="1"/>
  <c r="X110" i="1"/>
  <c r="V115" i="1"/>
  <c r="X115" i="1"/>
  <c r="V119" i="1"/>
  <c r="X119" i="1"/>
  <c r="V123" i="1"/>
  <c r="X123" i="1"/>
  <c r="V127" i="1"/>
  <c r="X127" i="1"/>
  <c r="V131" i="1"/>
  <c r="X131" i="1"/>
  <c r="V135" i="1"/>
  <c r="X135" i="1"/>
  <c r="V139" i="1"/>
  <c r="X139" i="1"/>
  <c r="V143" i="1"/>
  <c r="X143" i="1"/>
  <c r="V147" i="1"/>
  <c r="X147" i="1"/>
  <c r="V151" i="1"/>
  <c r="X151" i="1"/>
  <c r="V155" i="1"/>
  <c r="X155" i="1"/>
  <c r="V159" i="1"/>
  <c r="X159" i="1"/>
  <c r="H122" i="1"/>
  <c r="V47" i="1"/>
  <c r="X47" i="1"/>
  <c r="V8" i="1"/>
  <c r="X8" i="1"/>
  <c r="V57" i="1"/>
  <c r="X57" i="1"/>
  <c r="V69" i="1"/>
  <c r="X69" i="1"/>
  <c r="V82" i="1"/>
  <c r="X82" i="1"/>
  <c r="V117" i="1"/>
  <c r="X117" i="1"/>
  <c r="V125" i="1"/>
  <c r="X125" i="1"/>
  <c r="V137" i="1"/>
  <c r="X137" i="1"/>
  <c r="V145" i="1"/>
  <c r="X145" i="1"/>
  <c r="V157" i="1"/>
  <c r="X157" i="1"/>
  <c r="V46" i="1"/>
  <c r="X46" i="1"/>
  <c r="V27" i="1"/>
  <c r="X27" i="1"/>
  <c r="V33" i="1"/>
  <c r="X33" i="1"/>
  <c r="V41" i="1"/>
  <c r="X41" i="1"/>
  <c r="V58" i="1"/>
  <c r="X58" i="1"/>
  <c r="V66" i="1"/>
  <c r="X66" i="1"/>
  <c r="V95" i="1"/>
  <c r="X95" i="1"/>
  <c r="V48" i="1"/>
  <c r="X48" i="1"/>
  <c r="V21" i="1"/>
  <c r="X21" i="1"/>
  <c r="V24" i="1"/>
  <c r="X24" i="1"/>
  <c r="V42" i="1"/>
  <c r="X42" i="1"/>
  <c r="V31" i="1"/>
  <c r="X31" i="1"/>
  <c r="V14" i="1"/>
  <c r="X14" i="1"/>
  <c r="V37" i="1"/>
  <c r="X37" i="1"/>
  <c r="V50" i="1"/>
  <c r="X50" i="1"/>
  <c r="V64" i="1"/>
  <c r="X64" i="1"/>
  <c r="V68" i="1"/>
  <c r="X68" i="1"/>
  <c r="V72" i="1"/>
  <c r="X72" i="1"/>
  <c r="V76" i="1"/>
  <c r="X76" i="1"/>
  <c r="V80" i="1"/>
  <c r="X80" i="1"/>
  <c r="V85" i="1"/>
  <c r="X85" i="1"/>
  <c r="V89" i="1"/>
  <c r="X89" i="1"/>
  <c r="V93" i="1"/>
  <c r="X93" i="1"/>
  <c r="V97" i="1"/>
  <c r="X97" i="1"/>
  <c r="V107" i="1"/>
  <c r="X107" i="1"/>
  <c r="V111" i="1"/>
  <c r="X111" i="1"/>
  <c r="V116" i="1"/>
  <c r="X116" i="1"/>
  <c r="V120" i="1"/>
  <c r="X120" i="1"/>
  <c r="V124" i="1"/>
  <c r="X124" i="1"/>
  <c r="V128" i="1"/>
  <c r="X128" i="1"/>
  <c r="V132" i="1"/>
  <c r="X132" i="1"/>
  <c r="V136" i="1"/>
  <c r="X136" i="1"/>
  <c r="V140" i="1"/>
  <c r="X140" i="1"/>
  <c r="V144" i="1"/>
  <c r="X144" i="1"/>
  <c r="V152" i="1"/>
  <c r="X152" i="1"/>
  <c r="V156" i="1"/>
  <c r="X156" i="1"/>
  <c r="V160" i="1"/>
  <c r="X160" i="1"/>
  <c r="H73" i="1"/>
  <c r="H56" i="1"/>
  <c r="V56" i="1"/>
  <c r="H98" i="1"/>
  <c r="V98" i="1"/>
  <c r="H108" i="1"/>
  <c r="H12" i="1"/>
  <c r="V12" i="1"/>
  <c r="H60" i="1"/>
  <c r="V60" i="1"/>
  <c r="H148" i="1"/>
  <c r="V148" i="1"/>
  <c r="H38" i="1"/>
  <c r="V38" i="1"/>
  <c r="H70" i="1"/>
  <c r="V70" i="1"/>
  <c r="H83" i="1"/>
  <c r="V83" i="1"/>
  <c r="H153" i="1"/>
  <c r="H87" i="1"/>
  <c r="H48" i="1"/>
  <c r="T48" i="1"/>
  <c r="R48" i="1"/>
  <c r="P48" i="1"/>
  <c r="H24" i="1"/>
  <c r="T24" i="1"/>
  <c r="R24" i="1"/>
  <c r="P24" i="1"/>
  <c r="R14" i="1"/>
  <c r="T14" i="1"/>
  <c r="P14" i="1"/>
  <c r="N50" i="1"/>
  <c r="T50" i="1"/>
  <c r="R50" i="1"/>
  <c r="P50" i="1"/>
  <c r="T64" i="1"/>
  <c r="R64" i="1"/>
  <c r="P64" i="1"/>
  <c r="T72" i="1"/>
  <c r="R72" i="1"/>
  <c r="P72" i="1"/>
  <c r="T80" i="1"/>
  <c r="R80" i="1"/>
  <c r="P80" i="1"/>
  <c r="R89" i="1"/>
  <c r="T89" i="1"/>
  <c r="P89" i="1"/>
  <c r="H107" i="1"/>
  <c r="R107" i="1"/>
  <c r="T107" i="1"/>
  <c r="P107" i="1"/>
  <c r="T116" i="1"/>
  <c r="R116" i="1"/>
  <c r="P116" i="1"/>
  <c r="T124" i="1"/>
  <c r="R124" i="1"/>
  <c r="P124" i="1"/>
  <c r="H132" i="1"/>
  <c r="T132" i="1"/>
  <c r="R132" i="1"/>
  <c r="P132" i="1"/>
  <c r="R140" i="1"/>
  <c r="T140" i="1"/>
  <c r="P140" i="1"/>
  <c r="H152" i="1"/>
  <c r="T152" i="1"/>
  <c r="R152" i="1"/>
  <c r="P152" i="1"/>
  <c r="H160" i="1"/>
  <c r="T160" i="1"/>
  <c r="R160" i="1"/>
  <c r="P160" i="1"/>
  <c r="Z76" i="1"/>
  <c r="T17" i="1"/>
  <c r="R17" i="1"/>
  <c r="P17" i="1"/>
  <c r="T73" i="1"/>
  <c r="R73" i="1"/>
  <c r="P73" i="1"/>
  <c r="R112" i="1"/>
  <c r="T112" i="1"/>
  <c r="P112" i="1"/>
  <c r="T137" i="1"/>
  <c r="R137" i="1"/>
  <c r="P137" i="1"/>
  <c r="R149" i="1"/>
  <c r="T149" i="1"/>
  <c r="P149" i="1"/>
  <c r="R153" i="1"/>
  <c r="T153" i="1"/>
  <c r="P153" i="1"/>
  <c r="R157" i="1"/>
  <c r="T157" i="1"/>
  <c r="P157" i="1"/>
  <c r="Z83" i="1"/>
  <c r="T12" i="1"/>
  <c r="R12" i="1"/>
  <c r="P12" i="1"/>
  <c r="H21" i="1"/>
  <c r="T21" i="1"/>
  <c r="R21" i="1"/>
  <c r="P21" i="1"/>
  <c r="R42" i="1"/>
  <c r="T42" i="1"/>
  <c r="P42" i="1"/>
  <c r="R31" i="1"/>
  <c r="T31" i="1"/>
  <c r="P31" i="1"/>
  <c r="T37" i="1"/>
  <c r="R37" i="1"/>
  <c r="P37" i="1"/>
  <c r="T56" i="1"/>
  <c r="R56" i="1"/>
  <c r="P56" i="1"/>
  <c r="T60" i="1"/>
  <c r="R60" i="1"/>
  <c r="P60" i="1"/>
  <c r="R68" i="1"/>
  <c r="T68" i="1"/>
  <c r="P68" i="1"/>
  <c r="R76" i="1"/>
  <c r="T76" i="1"/>
  <c r="P76" i="1"/>
  <c r="R85" i="1"/>
  <c r="T85" i="1"/>
  <c r="P85" i="1"/>
  <c r="T93" i="1"/>
  <c r="R93" i="1"/>
  <c r="P93" i="1"/>
  <c r="H97" i="1"/>
  <c r="R97" i="1"/>
  <c r="T97" i="1"/>
  <c r="P97" i="1"/>
  <c r="R111" i="1"/>
  <c r="T111" i="1"/>
  <c r="P111" i="1"/>
  <c r="T120" i="1"/>
  <c r="R120" i="1"/>
  <c r="P120" i="1"/>
  <c r="T128" i="1"/>
  <c r="R128" i="1"/>
  <c r="P128" i="1"/>
  <c r="R136" i="1"/>
  <c r="T136" i="1"/>
  <c r="P136" i="1"/>
  <c r="N144" i="1"/>
  <c r="R144" i="1"/>
  <c r="T144" i="1"/>
  <c r="P144" i="1"/>
  <c r="R148" i="1"/>
  <c r="T148" i="1"/>
  <c r="P148" i="1"/>
  <c r="T156" i="1"/>
  <c r="R156" i="1"/>
  <c r="P156" i="1"/>
  <c r="T47" i="1"/>
  <c r="R47" i="1"/>
  <c r="P47" i="1"/>
  <c r="T29" i="1"/>
  <c r="R29" i="1"/>
  <c r="P29" i="1"/>
  <c r="T32" i="1"/>
  <c r="R32" i="1"/>
  <c r="P32" i="1"/>
  <c r="R23" i="1"/>
  <c r="T23" i="1"/>
  <c r="P23" i="1"/>
  <c r="T52" i="1"/>
  <c r="R52" i="1"/>
  <c r="P52" i="1"/>
  <c r="R61" i="1"/>
  <c r="T61" i="1"/>
  <c r="P61" i="1"/>
  <c r="R69" i="1"/>
  <c r="T69" i="1"/>
  <c r="P69" i="1"/>
  <c r="R82" i="1"/>
  <c r="T82" i="1"/>
  <c r="P82" i="1"/>
  <c r="T90" i="1"/>
  <c r="R90" i="1"/>
  <c r="P90" i="1"/>
  <c r="R98" i="1"/>
  <c r="T98" i="1"/>
  <c r="P98" i="1"/>
  <c r="R117" i="1"/>
  <c r="T117" i="1"/>
  <c r="P117" i="1"/>
  <c r="R125" i="1"/>
  <c r="T125" i="1"/>
  <c r="P125" i="1"/>
  <c r="T133" i="1"/>
  <c r="R133" i="1"/>
  <c r="P133" i="1"/>
  <c r="T141" i="1"/>
  <c r="R141" i="1"/>
  <c r="P141" i="1"/>
  <c r="T19" i="1"/>
  <c r="R19" i="1"/>
  <c r="P19" i="1"/>
  <c r="H27" i="1"/>
  <c r="R27" i="1"/>
  <c r="T27" i="1"/>
  <c r="P27" i="1"/>
  <c r="H33" i="1"/>
  <c r="T33" i="1"/>
  <c r="R33" i="1"/>
  <c r="P33" i="1"/>
  <c r="R41" i="1"/>
  <c r="T41" i="1"/>
  <c r="P41" i="1"/>
  <c r="T53" i="1"/>
  <c r="R53" i="1"/>
  <c r="P53" i="1"/>
  <c r="H58" i="1"/>
  <c r="T58" i="1"/>
  <c r="R58" i="1"/>
  <c r="P58" i="1"/>
  <c r="H62" i="1"/>
  <c r="T62" i="1"/>
  <c r="R62" i="1"/>
  <c r="P62" i="1"/>
  <c r="R66" i="1"/>
  <c r="T66" i="1"/>
  <c r="P66" i="1"/>
  <c r="T70" i="1"/>
  <c r="R70" i="1"/>
  <c r="P70" i="1"/>
  <c r="T74" i="1"/>
  <c r="R74" i="1"/>
  <c r="P74" i="1"/>
  <c r="T78" i="1"/>
  <c r="R78" i="1"/>
  <c r="P78" i="1"/>
  <c r="T83" i="1"/>
  <c r="R83" i="1"/>
  <c r="P83" i="1"/>
  <c r="R87" i="1"/>
  <c r="T87" i="1"/>
  <c r="P87" i="1"/>
  <c r="T91" i="1"/>
  <c r="R91" i="1"/>
  <c r="P91" i="1"/>
  <c r="H95" i="1"/>
  <c r="T95" i="1"/>
  <c r="R95" i="1"/>
  <c r="P95" i="1"/>
  <c r="T99" i="1"/>
  <c r="R99" i="1"/>
  <c r="P99" i="1"/>
  <c r="T109" i="1"/>
  <c r="R109" i="1"/>
  <c r="P109" i="1"/>
  <c r="R114" i="1"/>
  <c r="T114" i="1"/>
  <c r="P114" i="1"/>
  <c r="R118" i="1"/>
  <c r="T118" i="1"/>
  <c r="P118" i="1"/>
  <c r="R122" i="1"/>
  <c r="T122" i="1"/>
  <c r="P122" i="1"/>
  <c r="R126" i="1"/>
  <c r="T126" i="1"/>
  <c r="P126" i="1"/>
  <c r="H130" i="1"/>
  <c r="R130" i="1"/>
  <c r="T130" i="1"/>
  <c r="P130" i="1"/>
  <c r="R134" i="1"/>
  <c r="T134" i="1"/>
  <c r="P134" i="1"/>
  <c r="R138" i="1"/>
  <c r="T138" i="1"/>
  <c r="P138" i="1"/>
  <c r="R142" i="1"/>
  <c r="T142" i="1"/>
  <c r="P142" i="1"/>
  <c r="H146" i="1"/>
  <c r="R146" i="1"/>
  <c r="T146" i="1"/>
  <c r="P146" i="1"/>
  <c r="T150" i="1"/>
  <c r="R150" i="1"/>
  <c r="P150" i="1"/>
  <c r="T154" i="1"/>
  <c r="R154" i="1"/>
  <c r="P154" i="1"/>
  <c r="R158" i="1"/>
  <c r="T158" i="1"/>
  <c r="P158" i="1"/>
  <c r="H157" i="1"/>
  <c r="H142" i="1"/>
  <c r="H118" i="1"/>
  <c r="H93" i="1"/>
  <c r="H78" i="1"/>
  <c r="H69" i="1"/>
  <c r="Z14" i="1"/>
  <c r="T15" i="1"/>
  <c r="P15" i="1"/>
  <c r="R15" i="1"/>
  <c r="R20" i="1"/>
  <c r="T20" i="1"/>
  <c r="P20" i="1"/>
  <c r="T8" i="1"/>
  <c r="R8" i="1"/>
  <c r="P8" i="1"/>
  <c r="R38" i="1"/>
  <c r="T38" i="1"/>
  <c r="P38" i="1"/>
  <c r="T57" i="1"/>
  <c r="R57" i="1"/>
  <c r="P57" i="1"/>
  <c r="T65" i="1"/>
  <c r="R65" i="1"/>
  <c r="P65" i="1"/>
  <c r="R77" i="1"/>
  <c r="T77" i="1"/>
  <c r="P77" i="1"/>
  <c r="T86" i="1"/>
  <c r="R86" i="1"/>
  <c r="P86" i="1"/>
  <c r="R94" i="1"/>
  <c r="T94" i="1"/>
  <c r="P94" i="1"/>
  <c r="T108" i="1"/>
  <c r="R108" i="1"/>
  <c r="P108" i="1"/>
  <c r="R121" i="1"/>
  <c r="T121" i="1"/>
  <c r="P121" i="1"/>
  <c r="R129" i="1"/>
  <c r="T129" i="1"/>
  <c r="P129" i="1"/>
  <c r="T145" i="1"/>
  <c r="R145" i="1"/>
  <c r="P145" i="1"/>
  <c r="T46" i="1"/>
  <c r="R46" i="1"/>
  <c r="P46" i="1"/>
  <c r="T13" i="1"/>
  <c r="R13" i="1"/>
  <c r="P13" i="1"/>
  <c r="R6" i="1"/>
  <c r="T6" i="1"/>
  <c r="P6" i="1"/>
  <c r="N6" i="1"/>
  <c r="T22" i="1"/>
  <c r="R22" i="1"/>
  <c r="P22" i="1"/>
  <c r="R45" i="1"/>
  <c r="T45" i="1"/>
  <c r="P45" i="1"/>
  <c r="R18" i="1"/>
  <c r="T18" i="1"/>
  <c r="P18" i="1"/>
  <c r="R26" i="1"/>
  <c r="T26" i="1"/>
  <c r="P26" i="1"/>
  <c r="R25" i="1"/>
  <c r="T25" i="1"/>
  <c r="P25" i="1"/>
  <c r="T30" i="1"/>
  <c r="R30" i="1"/>
  <c r="P30" i="1"/>
  <c r="T35" i="1"/>
  <c r="R35" i="1"/>
  <c r="P35" i="1"/>
  <c r="H34" i="1"/>
  <c r="R34" i="1"/>
  <c r="T34" i="1"/>
  <c r="P34" i="1"/>
  <c r="T43" i="1"/>
  <c r="R43" i="1"/>
  <c r="P43" i="1"/>
  <c r="T54" i="1"/>
  <c r="R54" i="1"/>
  <c r="P54" i="1"/>
  <c r="H59" i="1"/>
  <c r="R59" i="1"/>
  <c r="T59" i="1"/>
  <c r="P59" i="1"/>
  <c r="H63" i="1"/>
  <c r="T63" i="1"/>
  <c r="R63" i="1"/>
  <c r="P63" i="1"/>
  <c r="H67" i="1"/>
  <c r="R67" i="1"/>
  <c r="T67" i="1"/>
  <c r="P67" i="1"/>
  <c r="R71" i="1"/>
  <c r="T71" i="1"/>
  <c r="P71" i="1"/>
  <c r="T75" i="1"/>
  <c r="R75" i="1"/>
  <c r="P75" i="1"/>
  <c r="R79" i="1"/>
  <c r="T79" i="1"/>
  <c r="P79" i="1"/>
  <c r="T84" i="1"/>
  <c r="R84" i="1"/>
  <c r="P84" i="1"/>
  <c r="T88" i="1"/>
  <c r="R88" i="1"/>
  <c r="P88" i="1"/>
  <c r="T92" i="1"/>
  <c r="R92" i="1"/>
  <c r="P92" i="1"/>
  <c r="N96" i="1"/>
  <c r="T96" i="1"/>
  <c r="R96" i="1"/>
  <c r="P96" i="1"/>
  <c r="T106" i="1"/>
  <c r="R106" i="1"/>
  <c r="P106" i="1"/>
  <c r="T110" i="1"/>
  <c r="R110" i="1"/>
  <c r="P110" i="1"/>
  <c r="R115" i="1"/>
  <c r="T115" i="1"/>
  <c r="P115" i="1"/>
  <c r="T119" i="1"/>
  <c r="R119" i="1"/>
  <c r="P119" i="1"/>
  <c r="T123" i="1"/>
  <c r="R123" i="1"/>
  <c r="P123" i="1"/>
  <c r="H127" i="1"/>
  <c r="T127" i="1"/>
  <c r="R127" i="1"/>
  <c r="P127" i="1"/>
  <c r="N131" i="1"/>
  <c r="T131" i="1"/>
  <c r="R131" i="1"/>
  <c r="P131" i="1"/>
  <c r="T135" i="1"/>
  <c r="R135" i="1"/>
  <c r="P135" i="1"/>
  <c r="R139" i="1"/>
  <c r="T139" i="1"/>
  <c r="P139" i="1"/>
  <c r="R143" i="1"/>
  <c r="T143" i="1"/>
  <c r="P143" i="1"/>
  <c r="H147" i="1"/>
  <c r="R147" i="1"/>
  <c r="T147" i="1"/>
  <c r="P147" i="1"/>
  <c r="T151" i="1"/>
  <c r="R151" i="1"/>
  <c r="P151" i="1"/>
  <c r="T155" i="1"/>
  <c r="R155" i="1"/>
  <c r="P155" i="1"/>
  <c r="T159" i="1"/>
  <c r="R159" i="1"/>
  <c r="P159" i="1"/>
  <c r="H154" i="1"/>
  <c r="H138" i="1"/>
  <c r="H112" i="1"/>
  <c r="H91" i="1"/>
  <c r="H74" i="1"/>
  <c r="H64" i="1"/>
  <c r="H29" i="1"/>
  <c r="Z108" i="1"/>
  <c r="Z156" i="1"/>
  <c r="Z35" i="1"/>
  <c r="J133" i="1"/>
  <c r="N22" i="1"/>
  <c r="L22" i="1"/>
  <c r="J22" i="1"/>
  <c r="N30" i="1"/>
  <c r="L30" i="1"/>
  <c r="N54" i="1"/>
  <c r="L54" i="1"/>
  <c r="J54" i="1"/>
  <c r="N75" i="1"/>
  <c r="L75" i="1"/>
  <c r="J75" i="1"/>
  <c r="N88" i="1"/>
  <c r="L88" i="1"/>
  <c r="J88" i="1"/>
  <c r="N110" i="1"/>
  <c r="L110" i="1"/>
  <c r="J110" i="1"/>
  <c r="N123" i="1"/>
  <c r="L123" i="1"/>
  <c r="J123" i="1"/>
  <c r="N151" i="1"/>
  <c r="L151" i="1"/>
  <c r="J151" i="1"/>
  <c r="N31" i="1"/>
  <c r="L31" i="1"/>
  <c r="J31" i="1"/>
  <c r="N64" i="1"/>
  <c r="L64" i="1"/>
  <c r="J64" i="1"/>
  <c r="N93" i="1"/>
  <c r="L93" i="1"/>
  <c r="J93" i="1"/>
  <c r="N128" i="1"/>
  <c r="L128" i="1"/>
  <c r="N148" i="1"/>
  <c r="L148" i="1"/>
  <c r="J148" i="1"/>
  <c r="H54" i="1"/>
  <c r="G32" i="1"/>
  <c r="Y32" i="1" s="1"/>
  <c r="AA32" i="1" s="1"/>
  <c r="H68" i="1"/>
  <c r="Z68" i="1"/>
  <c r="L50" i="1"/>
  <c r="J30" i="1"/>
  <c r="N45" i="1"/>
  <c r="L45" i="1"/>
  <c r="J45" i="1"/>
  <c r="N26" i="1"/>
  <c r="L26" i="1"/>
  <c r="J26" i="1"/>
  <c r="N35" i="1"/>
  <c r="L35" i="1"/>
  <c r="J35" i="1"/>
  <c r="N43" i="1"/>
  <c r="L43" i="1"/>
  <c r="J43" i="1"/>
  <c r="N63" i="1"/>
  <c r="L63" i="1"/>
  <c r="J63" i="1"/>
  <c r="N71" i="1"/>
  <c r="L71" i="1"/>
  <c r="J71" i="1"/>
  <c r="N79" i="1"/>
  <c r="L79" i="1"/>
  <c r="J79" i="1"/>
  <c r="N84" i="1"/>
  <c r="L84" i="1"/>
  <c r="J84" i="1"/>
  <c r="N92" i="1"/>
  <c r="L92" i="1"/>
  <c r="N106" i="1"/>
  <c r="L106" i="1"/>
  <c r="J106" i="1"/>
  <c r="N115" i="1"/>
  <c r="L115" i="1"/>
  <c r="J115" i="1"/>
  <c r="N119" i="1"/>
  <c r="L119" i="1"/>
  <c r="J119" i="1"/>
  <c r="N127" i="1"/>
  <c r="L127" i="1"/>
  <c r="J127" i="1"/>
  <c r="N135" i="1"/>
  <c r="L135" i="1"/>
  <c r="J135" i="1"/>
  <c r="N143" i="1"/>
  <c r="L143" i="1"/>
  <c r="J143" i="1"/>
  <c r="N155" i="1"/>
  <c r="L155" i="1"/>
  <c r="J155" i="1"/>
  <c r="H143" i="1"/>
  <c r="H135" i="1"/>
  <c r="H119" i="1"/>
  <c r="H79" i="1"/>
  <c r="H45" i="1"/>
  <c r="H66" i="1"/>
  <c r="Z66" i="1"/>
  <c r="H150" i="1"/>
  <c r="Z150" i="1"/>
  <c r="N48" i="1"/>
  <c r="L48" i="1"/>
  <c r="J48" i="1"/>
  <c r="N21" i="1"/>
  <c r="L21" i="1"/>
  <c r="J21" i="1"/>
  <c r="N42" i="1"/>
  <c r="L42" i="1"/>
  <c r="J42" i="1"/>
  <c r="N60" i="1"/>
  <c r="L60" i="1"/>
  <c r="J60" i="1"/>
  <c r="N72" i="1"/>
  <c r="L72" i="1"/>
  <c r="J72" i="1"/>
  <c r="N80" i="1"/>
  <c r="L80" i="1"/>
  <c r="J80" i="1"/>
  <c r="N89" i="1"/>
  <c r="L89" i="1"/>
  <c r="J89" i="1"/>
  <c r="N111" i="1"/>
  <c r="L111" i="1"/>
  <c r="J111" i="1"/>
  <c r="N120" i="1"/>
  <c r="L120" i="1"/>
  <c r="J120" i="1"/>
  <c r="N156" i="1"/>
  <c r="L156" i="1"/>
  <c r="J156" i="1"/>
  <c r="N15" i="1"/>
  <c r="J15" i="1"/>
  <c r="L15" i="1"/>
  <c r="N47" i="1"/>
  <c r="L47" i="1"/>
  <c r="J47" i="1"/>
  <c r="N20" i="1"/>
  <c r="L20" i="1"/>
  <c r="J20" i="1"/>
  <c r="N17" i="1"/>
  <c r="L17" i="1"/>
  <c r="J17" i="1"/>
  <c r="N29" i="1"/>
  <c r="L29" i="1"/>
  <c r="J29" i="1"/>
  <c r="N8" i="1"/>
  <c r="L8" i="1"/>
  <c r="N32" i="1"/>
  <c r="L32" i="1"/>
  <c r="J32" i="1"/>
  <c r="N23" i="1"/>
  <c r="L23" i="1"/>
  <c r="J23" i="1"/>
  <c r="N38" i="1"/>
  <c r="L38" i="1"/>
  <c r="J38" i="1"/>
  <c r="N52" i="1"/>
  <c r="L52" i="1"/>
  <c r="N57" i="1"/>
  <c r="L57" i="1"/>
  <c r="J57" i="1"/>
  <c r="N61" i="1"/>
  <c r="L61" i="1"/>
  <c r="J61" i="1"/>
  <c r="N65" i="1"/>
  <c r="L65" i="1"/>
  <c r="J65" i="1"/>
  <c r="N69" i="1"/>
  <c r="L69" i="1"/>
  <c r="J69" i="1"/>
  <c r="N73" i="1"/>
  <c r="L73" i="1"/>
  <c r="J73" i="1"/>
  <c r="N77" i="1"/>
  <c r="L77" i="1"/>
  <c r="J77" i="1"/>
  <c r="N82" i="1"/>
  <c r="L82" i="1"/>
  <c r="J82" i="1"/>
  <c r="N86" i="1"/>
  <c r="L86" i="1"/>
  <c r="J86" i="1"/>
  <c r="N90" i="1"/>
  <c r="L90" i="1"/>
  <c r="J90" i="1"/>
  <c r="N94" i="1"/>
  <c r="L94" i="1"/>
  <c r="J94" i="1"/>
  <c r="N98" i="1"/>
  <c r="L98" i="1"/>
  <c r="J98" i="1"/>
  <c r="N108" i="1"/>
  <c r="L108" i="1"/>
  <c r="J108" i="1"/>
  <c r="N112" i="1"/>
  <c r="L112" i="1"/>
  <c r="J112" i="1"/>
  <c r="N117" i="1"/>
  <c r="L117" i="1"/>
  <c r="J117" i="1"/>
  <c r="N121" i="1"/>
  <c r="L121" i="1"/>
  <c r="J121" i="1"/>
  <c r="N125" i="1"/>
  <c r="L125" i="1"/>
  <c r="J125" i="1"/>
  <c r="N129" i="1"/>
  <c r="L129" i="1"/>
  <c r="J129" i="1"/>
  <c r="N133" i="1"/>
  <c r="L133" i="1"/>
  <c r="N137" i="1"/>
  <c r="L137" i="1"/>
  <c r="J137" i="1"/>
  <c r="N141" i="1"/>
  <c r="L141" i="1"/>
  <c r="J141" i="1"/>
  <c r="N145" i="1"/>
  <c r="L145" i="1"/>
  <c r="J145" i="1"/>
  <c r="N149" i="1"/>
  <c r="L149" i="1"/>
  <c r="J149" i="1"/>
  <c r="N153" i="1"/>
  <c r="L153" i="1"/>
  <c r="J153" i="1"/>
  <c r="N157" i="1"/>
  <c r="L157" i="1"/>
  <c r="J157" i="1"/>
  <c r="H156" i="1"/>
  <c r="H141" i="1"/>
  <c r="H137" i="1"/>
  <c r="H125" i="1"/>
  <c r="H121" i="1"/>
  <c r="H117" i="1"/>
  <c r="H110" i="1"/>
  <c r="H106" i="1"/>
  <c r="H90" i="1"/>
  <c r="H86" i="1"/>
  <c r="H82" i="1"/>
  <c r="H77" i="1"/>
  <c r="H72" i="1"/>
  <c r="H43" i="1"/>
  <c r="H23" i="1"/>
  <c r="H31" i="1"/>
  <c r="H26" i="1"/>
  <c r="H47" i="1"/>
  <c r="H20" i="1"/>
  <c r="H17" i="1"/>
  <c r="H37" i="1"/>
  <c r="Z37" i="1"/>
  <c r="H76" i="1"/>
  <c r="G114" i="1"/>
  <c r="Y114" i="1" s="1"/>
  <c r="AA114" i="1" s="1"/>
  <c r="Z115" i="1"/>
  <c r="Z27" i="1"/>
  <c r="J8" i="1"/>
  <c r="J92" i="1"/>
  <c r="N18" i="1"/>
  <c r="L18" i="1"/>
  <c r="J18" i="1"/>
  <c r="N25" i="1"/>
  <c r="L25" i="1"/>
  <c r="J25" i="1"/>
  <c r="N34" i="1"/>
  <c r="L34" i="1"/>
  <c r="J34" i="1"/>
  <c r="N59" i="1"/>
  <c r="L59" i="1"/>
  <c r="J59" i="1"/>
  <c r="N67" i="1"/>
  <c r="L67" i="1"/>
  <c r="J67" i="1"/>
  <c r="N139" i="1"/>
  <c r="L139" i="1"/>
  <c r="J139" i="1"/>
  <c r="N147" i="1"/>
  <c r="L147" i="1"/>
  <c r="N159" i="1"/>
  <c r="L159" i="1"/>
  <c r="J159" i="1"/>
  <c r="H139" i="1"/>
  <c r="H123" i="1"/>
  <c r="H88" i="1"/>
  <c r="H84" i="1"/>
  <c r="H35" i="1"/>
  <c r="H22" i="1"/>
  <c r="H18" i="1"/>
  <c r="G92" i="1"/>
  <c r="Y92" i="1" s="1"/>
  <c r="AA92" i="1" s="1"/>
  <c r="Z93" i="1"/>
  <c r="N12" i="1"/>
  <c r="L12" i="1"/>
  <c r="J12" i="1"/>
  <c r="N24" i="1"/>
  <c r="L24" i="1"/>
  <c r="J24" i="1"/>
  <c r="N14" i="1"/>
  <c r="L14" i="1"/>
  <c r="J14" i="1"/>
  <c r="N37" i="1"/>
  <c r="L37" i="1"/>
  <c r="J37" i="1"/>
  <c r="N56" i="1"/>
  <c r="L56" i="1"/>
  <c r="J56" i="1"/>
  <c r="N68" i="1"/>
  <c r="L68" i="1"/>
  <c r="J68" i="1"/>
  <c r="N76" i="1"/>
  <c r="L76" i="1"/>
  <c r="J76" i="1"/>
  <c r="N85" i="1"/>
  <c r="L85" i="1"/>
  <c r="J85" i="1"/>
  <c r="N97" i="1"/>
  <c r="L97" i="1"/>
  <c r="J97" i="1"/>
  <c r="N107" i="1"/>
  <c r="L107" i="1"/>
  <c r="J107" i="1"/>
  <c r="N116" i="1"/>
  <c r="L116" i="1"/>
  <c r="J116" i="1"/>
  <c r="N124" i="1"/>
  <c r="L124" i="1"/>
  <c r="J124" i="1"/>
  <c r="N132" i="1"/>
  <c r="L132" i="1"/>
  <c r="J132" i="1"/>
  <c r="N136" i="1"/>
  <c r="L136" i="1"/>
  <c r="J136" i="1"/>
  <c r="N140" i="1"/>
  <c r="L140" i="1"/>
  <c r="J140" i="1"/>
  <c r="N152" i="1"/>
  <c r="L152" i="1"/>
  <c r="J152" i="1"/>
  <c r="N160" i="1"/>
  <c r="L160" i="1"/>
  <c r="J160" i="1"/>
  <c r="H111" i="1"/>
  <c r="N46" i="1"/>
  <c r="L46" i="1"/>
  <c r="J46" i="1"/>
  <c r="N19" i="1"/>
  <c r="L19" i="1"/>
  <c r="J19" i="1"/>
  <c r="N13" i="1"/>
  <c r="L13" i="1"/>
  <c r="J13" i="1"/>
  <c r="N27" i="1"/>
  <c r="L27" i="1"/>
  <c r="J27" i="1"/>
  <c r="N33" i="1"/>
  <c r="L33" i="1"/>
  <c r="J33" i="1"/>
  <c r="N41" i="1"/>
  <c r="L41" i="1"/>
  <c r="J41" i="1"/>
  <c r="N53" i="1"/>
  <c r="L53" i="1"/>
  <c r="J53" i="1"/>
  <c r="N58" i="1"/>
  <c r="L58" i="1"/>
  <c r="J58" i="1"/>
  <c r="N62" i="1"/>
  <c r="L62" i="1"/>
  <c r="J62" i="1"/>
  <c r="N66" i="1"/>
  <c r="L66" i="1"/>
  <c r="J66" i="1"/>
  <c r="N70" i="1"/>
  <c r="L70" i="1"/>
  <c r="J70" i="1"/>
  <c r="N74" i="1"/>
  <c r="L74" i="1"/>
  <c r="J74" i="1"/>
  <c r="N78" i="1"/>
  <c r="L78" i="1"/>
  <c r="J78" i="1"/>
  <c r="N83" i="1"/>
  <c r="L83" i="1"/>
  <c r="N87" i="1"/>
  <c r="L87" i="1"/>
  <c r="J87" i="1"/>
  <c r="N91" i="1"/>
  <c r="L91" i="1"/>
  <c r="J91" i="1"/>
  <c r="N95" i="1"/>
  <c r="L95" i="1"/>
  <c r="J95" i="1"/>
  <c r="N99" i="1"/>
  <c r="L99" i="1"/>
  <c r="J99" i="1"/>
  <c r="N109" i="1"/>
  <c r="L109" i="1"/>
  <c r="J109" i="1"/>
  <c r="N114" i="1"/>
  <c r="L114" i="1"/>
  <c r="N118" i="1"/>
  <c r="L118" i="1"/>
  <c r="J118" i="1"/>
  <c r="N122" i="1"/>
  <c r="L122" i="1"/>
  <c r="J122" i="1"/>
  <c r="N126" i="1"/>
  <c r="L126" i="1"/>
  <c r="J126" i="1"/>
  <c r="N130" i="1"/>
  <c r="L130" i="1"/>
  <c r="J130" i="1"/>
  <c r="N134" i="1"/>
  <c r="L134" i="1"/>
  <c r="J134" i="1"/>
  <c r="N138" i="1"/>
  <c r="L138" i="1"/>
  <c r="J138" i="1"/>
  <c r="N142" i="1"/>
  <c r="L142" i="1"/>
  <c r="J142" i="1"/>
  <c r="N146" i="1"/>
  <c r="L146" i="1"/>
  <c r="J146" i="1"/>
  <c r="N150" i="1"/>
  <c r="L150" i="1"/>
  <c r="J150" i="1"/>
  <c r="N154" i="1"/>
  <c r="L154" i="1"/>
  <c r="J154" i="1"/>
  <c r="N158" i="1"/>
  <c r="L158" i="1"/>
  <c r="J158" i="1"/>
  <c r="H159" i="1"/>
  <c r="H155" i="1"/>
  <c r="H151" i="1"/>
  <c r="H145" i="1"/>
  <c r="H140" i="1"/>
  <c r="H136" i="1"/>
  <c r="H129" i="1"/>
  <c r="H124" i="1"/>
  <c r="H120" i="1"/>
  <c r="H116" i="1"/>
  <c r="H109" i="1"/>
  <c r="H99" i="1"/>
  <c r="H94" i="1"/>
  <c r="H89" i="1"/>
  <c r="H85" i="1"/>
  <c r="H80" i="1"/>
  <c r="H75" i="1"/>
  <c r="H71" i="1"/>
  <c r="H65" i="1"/>
  <c r="H61" i="1"/>
  <c r="H57" i="1"/>
  <c r="H41" i="1"/>
  <c r="H14" i="1"/>
  <c r="H42" i="1"/>
  <c r="H46" i="1"/>
  <c r="H19" i="1"/>
  <c r="H13" i="1"/>
  <c r="H53" i="1"/>
  <c r="Z53" i="1"/>
  <c r="G133" i="1"/>
  <c r="Y133" i="1" s="1"/>
  <c r="AA133" i="1" s="1"/>
  <c r="Z134" i="1"/>
  <c r="G30" i="1"/>
  <c r="Y30" i="1" s="1"/>
  <c r="AA30" i="1" s="1"/>
  <c r="AD30" i="1" s="1"/>
  <c r="Z31" i="1"/>
  <c r="G15" i="1"/>
  <c r="Y15" i="1" s="1"/>
  <c r="AA15" i="1" s="1"/>
  <c r="J6" i="1"/>
  <c r="L6" i="1"/>
  <c r="J114" i="1"/>
  <c r="J83" i="1"/>
  <c r="J52" i="1"/>
  <c r="I50" i="1"/>
  <c r="G149" i="1"/>
  <c r="Y149" i="1" s="1"/>
  <c r="AA149" i="1" s="1"/>
  <c r="AD149" i="1" s="1"/>
  <c r="H134" i="1"/>
  <c r="H115" i="1"/>
  <c r="G52" i="1"/>
  <c r="Y52" i="1" s="1"/>
  <c r="AA52" i="1" s="1"/>
  <c r="AD14" i="1" l="1"/>
  <c r="BB14" i="1"/>
  <c r="AT14" i="1"/>
  <c r="BD14" i="1"/>
  <c r="BD10" i="1" s="1"/>
  <c r="BE10" i="1" s="1"/>
  <c r="AH14" i="1"/>
  <c r="AN14" i="1"/>
  <c r="AV14" i="1"/>
  <c r="G10" i="1"/>
  <c r="AZ10" i="1"/>
  <c r="AX10" i="1"/>
  <c r="AR10" i="1"/>
  <c r="AT10" i="1"/>
  <c r="AV10" i="1"/>
  <c r="AP10" i="1"/>
  <c r="AN10" i="1"/>
  <c r="AL10" i="1"/>
  <c r="AJ10" i="1"/>
  <c r="AH10" i="1"/>
  <c r="BB10" i="1"/>
  <c r="AT25" i="1"/>
  <c r="AL25" i="1"/>
  <c r="AR25" i="1"/>
  <c r="AJ25" i="1"/>
  <c r="AX25" i="1"/>
  <c r="AP25" i="1"/>
  <c r="BB25" i="1"/>
  <c r="AV25" i="1"/>
  <c r="AN25" i="1"/>
  <c r="AH25" i="1"/>
  <c r="AB8" i="1"/>
  <c r="AN8" i="1" s="1"/>
  <c r="G25" i="1"/>
  <c r="Y25" i="1" s="1"/>
  <c r="AA25" i="1" s="1"/>
  <c r="AD25" i="1" s="1"/>
  <c r="BE14" i="1"/>
  <c r="AZ52" i="1"/>
  <c r="AX52" i="1"/>
  <c r="AV52" i="1"/>
  <c r="AT52" i="1"/>
  <c r="AR52" i="1"/>
  <c r="AP52" i="1"/>
  <c r="AN52" i="1"/>
  <c r="AL52" i="1"/>
  <c r="AH52" i="1"/>
  <c r="AJ52" i="1"/>
  <c r="BB52" i="1"/>
  <c r="AB50" i="1"/>
  <c r="BE158" i="1"/>
  <c r="BF158" i="1" s="1"/>
  <c r="BD156" i="1"/>
  <c r="BE156" i="1" s="1"/>
  <c r="BD114" i="1"/>
  <c r="BE114" i="1" s="1"/>
  <c r="BE115" i="1"/>
  <c r="AZ32" i="1"/>
  <c r="AX32" i="1"/>
  <c r="AV32" i="1"/>
  <c r="AT32" i="1"/>
  <c r="AR32" i="1"/>
  <c r="AP32" i="1"/>
  <c r="AN32" i="1"/>
  <c r="AL32" i="1"/>
  <c r="AJ32" i="1"/>
  <c r="BB32" i="1"/>
  <c r="AH32" i="1"/>
  <c r="AB6" i="1"/>
  <c r="BE134" i="1"/>
  <c r="BD133" i="1"/>
  <c r="BE133" i="1" s="1"/>
  <c r="AZ114" i="1"/>
  <c r="AX114" i="1"/>
  <c r="AV114" i="1"/>
  <c r="AT114" i="1"/>
  <c r="AP114" i="1"/>
  <c r="AR114" i="1"/>
  <c r="AN114" i="1"/>
  <c r="AL114" i="1"/>
  <c r="AJ114" i="1"/>
  <c r="AH114" i="1"/>
  <c r="BB114" i="1"/>
  <c r="BE35" i="1"/>
  <c r="BD32" i="1"/>
  <c r="BD25" i="1" s="1"/>
  <c r="BE25" i="1" s="1"/>
  <c r="BE53" i="1"/>
  <c r="BD52" i="1"/>
  <c r="AZ133" i="1"/>
  <c r="AX133" i="1"/>
  <c r="AV133" i="1"/>
  <c r="AT133" i="1"/>
  <c r="AR133" i="1"/>
  <c r="AN133" i="1"/>
  <c r="AP133" i="1"/>
  <c r="AL133" i="1"/>
  <c r="AJ133" i="1"/>
  <c r="AH133" i="1"/>
  <c r="BB133" i="1"/>
  <c r="Z15" i="1"/>
  <c r="H15" i="1"/>
  <c r="H149" i="1"/>
  <c r="Z149" i="1"/>
  <c r="H32" i="1"/>
  <c r="Z32" i="1"/>
  <c r="H25" i="1"/>
  <c r="G50" i="1"/>
  <c r="Y50" i="1" s="1"/>
  <c r="AA50" i="1" s="1"/>
  <c r="Z52" i="1"/>
  <c r="H133" i="1"/>
  <c r="Z133" i="1"/>
  <c r="H92" i="1"/>
  <c r="Z92" i="1"/>
  <c r="H30" i="1"/>
  <c r="Z30" i="1"/>
  <c r="H114" i="1"/>
  <c r="Z114" i="1"/>
  <c r="J50" i="1"/>
  <c r="H52" i="1"/>
  <c r="BF156" i="1" l="1"/>
  <c r="BG158" i="1"/>
  <c r="H10" i="1"/>
  <c r="Y10" i="1"/>
  <c r="Z25" i="1"/>
  <c r="BB8" i="1"/>
  <c r="AZ8" i="1"/>
  <c r="AR8" i="1"/>
  <c r="AL8" i="1"/>
  <c r="AX8" i="1"/>
  <c r="AT8" i="1"/>
  <c r="G6" i="1"/>
  <c r="Y6" i="1" s="1"/>
  <c r="AA6" i="1" s="1"/>
  <c r="AJ8" i="1"/>
  <c r="AP8" i="1"/>
  <c r="AV8" i="1"/>
  <c r="AH8" i="1"/>
  <c r="G8" i="1"/>
  <c r="Y8" i="1" s="1"/>
  <c r="AA8" i="1" s="1"/>
  <c r="BD8" i="1"/>
  <c r="BE8" i="1" s="1"/>
  <c r="G10" i="3"/>
  <c r="F6" i="3" s="1"/>
  <c r="AZ6" i="1"/>
  <c r="AV6" i="1"/>
  <c r="AX6" i="1"/>
  <c r="AT6" i="1"/>
  <c r="AR6" i="1"/>
  <c r="AP6" i="1"/>
  <c r="AN6" i="1"/>
  <c r="AL6" i="1"/>
  <c r="AH6" i="1"/>
  <c r="BB6" i="1"/>
  <c r="AJ6" i="1"/>
  <c r="AZ50" i="1"/>
  <c r="AX50" i="1"/>
  <c r="AV50" i="1"/>
  <c r="AT50" i="1"/>
  <c r="AR50" i="1"/>
  <c r="AP50" i="1"/>
  <c r="AN50" i="1"/>
  <c r="AL50" i="1"/>
  <c r="BD6" i="1"/>
  <c r="BE6" i="1" s="1"/>
  <c r="BE32" i="1"/>
  <c r="AE6" i="1"/>
  <c r="AF6" i="1" s="1"/>
  <c r="AJ50" i="1"/>
  <c r="BE52" i="1"/>
  <c r="BD50" i="1"/>
  <c r="BE50" i="1" s="1"/>
  <c r="H50" i="1"/>
  <c r="Z50" i="1"/>
  <c r="CG158" i="1" l="1"/>
  <c r="CA158" i="1"/>
  <c r="CE158" i="1"/>
  <c r="BW158" i="1"/>
  <c r="BU158" i="1"/>
  <c r="BY158" i="1"/>
  <c r="CC158" i="1"/>
  <c r="BQ158" i="1"/>
  <c r="BK158" i="1"/>
  <c r="BI158" i="1"/>
  <c r="BO158" i="1"/>
  <c r="BS158" i="1"/>
  <c r="BM158" i="1"/>
  <c r="BG156" i="1"/>
  <c r="BF50" i="1"/>
  <c r="BG50" i="1" s="1"/>
  <c r="F4" i="3"/>
  <c r="H4" i="3" s="1"/>
  <c r="H6" i="3"/>
  <c r="Z10" i="1"/>
  <c r="AA10" i="1"/>
  <c r="Z6" i="1"/>
  <c r="H6" i="1"/>
  <c r="H8" i="1"/>
  <c r="Z8" i="1"/>
  <c r="AH93" i="1"/>
  <c r="AG92" i="1"/>
  <c r="CA156" i="1" l="1"/>
  <c r="BK156" i="1"/>
  <c r="BM156" i="1"/>
  <c r="BS156" i="1"/>
  <c r="CC156" i="1"/>
  <c r="BW156" i="1"/>
  <c r="BO156" i="1"/>
  <c r="BU156" i="1"/>
  <c r="CG156" i="1"/>
  <c r="BQ156" i="1"/>
  <c r="CE156" i="1"/>
  <c r="BY156" i="1"/>
  <c r="BI156" i="1"/>
  <c r="CE50" i="1"/>
  <c r="BU50" i="1"/>
  <c r="CC50" i="1"/>
  <c r="BM50" i="1"/>
  <c r="BK50" i="1"/>
  <c r="BO50" i="1"/>
  <c r="BQ50" i="1"/>
  <c r="BS50" i="1"/>
  <c r="BY50" i="1"/>
  <c r="BW50" i="1"/>
  <c r="CG50" i="1"/>
  <c r="CA50" i="1"/>
  <c r="BI50" i="1"/>
  <c r="BA92" i="1"/>
  <c r="AG50" i="1"/>
  <c r="BA50" i="1" s="1"/>
  <c r="AH92" i="1"/>
  <c r="BC92" i="1" l="1"/>
  <c r="BB92" i="1"/>
  <c r="BC50" i="1"/>
  <c r="BB50" i="1"/>
  <c r="AH50" i="1"/>
</calcChain>
</file>

<file path=xl/comments1.xml><?xml version="1.0" encoding="utf-8"?>
<comments xmlns="http://schemas.openxmlformats.org/spreadsheetml/2006/main">
  <authors>
    <author>tc={C6BAA272-FF2E-4B04-BB70-261677DD8031}</author>
    <author>tc={5A392C16-C73B-49E7-919D-3FAABDC6996E}</author>
    <author>YCSA</author>
    <author>tc={CFB2DF8B-AF26-401A-A708-87DE12E7CC87}</author>
    <author>tc={252CE61F-04A5-42DF-A37E-4FCE5F99E0E7}</author>
    <author>Irene</author>
    <author>tc={8B811468-05FD-4D0B-A3A7-B1E4F9364D33}</author>
    <author>tc={1EADD8A9-55A6-41B3-AA16-80B937BCE40F}</author>
    <author>tc={83BC6E06-CEE6-47D7-AD2B-DA1D16ABEEE5}</author>
    <author>tc={A5D1E868-4ABB-4DD9-8B21-3FDFB9AE55C0}</author>
    <author>tc={E474104C-7D80-4E94-8D77-98D89E1BEE75}</author>
    <author>tc={1242B1AC-C766-494E-9A6B-6028B678E7AC}</author>
    <author>Peter Pondorf</author>
    <author>tc={CAAE3E44-842D-4B68-ACE8-9E0DC31B918A}</author>
  </authors>
  <commentList>
    <comment ref="O12" authorId="0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6979 eventos nauticos e 4821 uniformes</t>
        </r>
      </text>
    </comment>
    <comment ref="Q12" authorId="1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6979 eventos nauticos e 4821 uniformes</t>
        </r>
      </text>
    </comment>
    <comment ref="BD12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4% em cima da proposta do ano passado. Estou considerando manter a média de sócios estáveis - entradas e saídas distribuidas durante o ano
</t>
        </r>
      </text>
    </comment>
    <comment ref="BF12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entrada de 10 novos sócios e saída de 7
</t>
        </r>
      </text>
    </comment>
    <comment ref="BD1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aumentar para 20 sócios esportistas</t>
        </r>
      </text>
    </comment>
    <comment ref="BF1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16 sócios esportistas</t>
        </r>
      </text>
    </comment>
    <comment ref="BF1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 e saíde de 7
</t>
        </r>
      </text>
    </comment>
    <comment ref="AB17" authorId="3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Definido valor fixo</t>
        </r>
      </text>
    </comment>
    <comment ref="BD1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4% sobre proposta do ano passado
</t>
        </r>
      </text>
    </comment>
    <comment ref="BF1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F19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F20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 - utlização bolão pelos veteranos as terças e quintas</t>
        </r>
      </text>
    </comment>
    <comment ref="BF21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Nesse valor consideramos aluguel, eletropaulo, IPTU. Falta estimar o valor referente ao percentual sobre faturamento</t>
        </r>
      </text>
    </comment>
    <comment ref="BF2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Camisetas, bonés, malas vendidas pelo clube. Consideramos média histórica</t>
        </r>
      </text>
    </comment>
    <comment ref="BF2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os valores dos convites sociais pagos pelos sócios e os valores pagos por parceiros como Bruno da Atlantimar</t>
        </r>
      </text>
    </comment>
    <comment ref="BF2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a escola de vela consideramos orçamento 2020
</t>
        </r>
      </text>
    </comment>
    <comment ref="BF30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Estimativa rendimento aplicações</t>
        </r>
      </text>
    </comment>
    <comment ref="BD3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Entrada de 10 novos sócios pagando transferencia de 20 mil reais durante o ano - dilui o valor em 12 meses
</t>
        </r>
      </text>
    </comment>
    <comment ref="BF3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sócios, porém 05 vindos da EV com desconto de 20% e o restante normal</t>
        </r>
      </text>
    </comment>
    <comment ref="BD3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titulo 5.000 - 10 novos sócios comprando titulo do clube, diluido em 12 meses</t>
        </r>
      </text>
    </comment>
    <comment ref="BF3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K38" authorId="4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uniformes - receita</t>
        </r>
      </text>
    </comment>
    <comment ref="BF3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eventos pontuais onde há locação de embarcações e serviços de skipper</t>
        </r>
      </text>
    </comment>
    <comment ref="BJ3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Clinica snipe</t>
        </r>
      </text>
    </comment>
    <comment ref="BF4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Esse valor varia conforme calendário de treinos e número de esportistas. O valor dos custos com ténico e alimentação é rateado entre os participantes.</t>
        </r>
      </text>
    </comment>
    <comment ref="BF46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</t>
        </r>
      </text>
    </comment>
    <comment ref="BF4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F5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referente folha atual + reajuste de 4%</t>
        </r>
      </text>
    </comment>
    <comment ref="BF56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Comissões Leandro e Sueli</t>
        </r>
      </text>
    </comment>
    <comment ref="BF5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base na proposta para folha</t>
        </r>
      </text>
    </comment>
    <comment ref="BL5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INCLUIDO MULTA FGTS RESCISÃO CLAUDIONOR</t>
        </r>
      </text>
    </comment>
    <comment ref="BR57" authorId="5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multa fgts na rescisão é lançado aqui
</t>
        </r>
      </text>
    </comment>
    <comment ref="BF5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Valor simbólico, para caso haja alguma movimentação</t>
        </r>
      </text>
    </comment>
    <comment ref="BL5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RESCISÃO CLAUDIONOR</t>
        </r>
      </text>
    </comment>
    <comment ref="BF59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conforme folha</t>
        </r>
      </text>
    </comment>
    <comment ref="BF60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conforme folha</t>
        </r>
      </text>
    </comment>
    <comment ref="BF61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conforme folha / equipe atual</t>
        </r>
      </text>
    </comment>
    <comment ref="U62" authorId="6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incluso acerto de maio la vieiras</t>
        </r>
      </text>
    </comment>
    <comment ref="BF62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conforme folha / equipe atual</t>
        </r>
      </text>
    </comment>
    <comment ref="BF6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Previsão para cursos de capacitação como eletricista, pedreiro, carpinteiro, treinamento em trabalho em alturas, etc...</t>
        </r>
      </text>
    </comment>
    <comment ref="BF6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F6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F6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F6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 reajustada 
</t>
        </r>
      </text>
    </comment>
    <comment ref="M72" authorId="7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Microsoft renovação</t>
        </r>
      </text>
    </comment>
    <comment ref="BR73" authorId="5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Squeezes e canecas para uso interno estão lançados aqui</t>
        </r>
      </text>
    </comment>
    <comment ref="BD7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Lembrar que são 14 parcelas durante o ano</t>
        </r>
      </text>
    </comment>
    <comment ref="BF7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</t>
        </r>
      </text>
    </comment>
    <comment ref="BF78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</t>
        </r>
      </text>
    </comment>
    <comment ref="BF79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</t>
        </r>
      </text>
    </comment>
    <comment ref="BF80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salva vidas autonomos - consideramos a utilização em metade dos finais de semana do ano
</t>
        </r>
      </text>
    </comment>
    <comment ref="BF81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02 faxineiros full time e 01 jardineiro uma vez por semana
</t>
        </r>
      </text>
    </comment>
    <comment ref="BF82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Diminuimos um pouco esse valor, pois durante 2019 houveram vários serviços adicionais que não vão se repetir em 2021, como novo site, publicações em jornais por conta edital cbc, etc...</t>
        </r>
      </text>
    </comment>
    <comment ref="BR82" authorId="5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aquele treinamento da eagle está incluso aqui 
</t>
        </r>
      </text>
    </comment>
    <comment ref="BF8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esses itens utilizamos a média - orçamento 2020 acrescido de reajuste de 4%
</t>
        </r>
      </text>
    </comment>
    <comment ref="O89" authorId="8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tapetes box vestiário feminino , colchonetes dia das maes</t>
        </r>
      </text>
    </comment>
    <comment ref="Q89" authorId="9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tapetes box vestiário feminino , colchonetes dia das maes</t>
        </r>
      </text>
    </comment>
    <comment ref="BX89" authorId="5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ferramentas para Genivaldo, jogo americano para restaurante</t>
        </r>
      </text>
    </comment>
    <comment ref="BF93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Utilizamos a média histórica com exceção do jantar do comodoro que em 2021 devemos realizar um evento maior</t>
        </r>
      </text>
    </comment>
    <comment ref="K106" authorId="10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carnaval e páscoa</t>
        </r>
      </text>
    </comment>
    <comment ref="M106" authorId="11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carnaval e páscoa</t>
        </r>
      </text>
    </comment>
    <comment ref="BJ106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confraternização funcionários realizada em dezembro</t>
        </r>
      </text>
    </comment>
    <comment ref="BF108" authorId="2" shapeId="0">
      <text>
        <r>
          <rPr>
            <b/>
            <sz val="9"/>
            <color indexed="81"/>
            <rFont val="Segoe UI"/>
            <family val="2"/>
          </rPr>
          <t>YCSA
Para esses itens utilizamos a média e e suspendemos o pagamento da FEVESP até a regularização da situação da mesma</t>
        </r>
      </text>
    </comment>
    <comment ref="BF11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- valores previstos para 2020 atualizados</t>
        </r>
      </text>
    </comment>
    <comment ref="BJ11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Atualizei tirando os 2.000,00 que vieram do projeto CBC. A contabilidade ainda está analisando como isso será tratado no balancete</t>
        </r>
      </text>
    </comment>
    <comment ref="BL11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TIREI 2.000,00 REF. RODRIGO CBC
</t>
        </r>
      </text>
    </comment>
    <comment ref="BN117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valor correto 14613,18 - já abati os 2,000,00 que foi utilizado do projeto cbc
</t>
        </r>
      </text>
    </comment>
    <comment ref="BF134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J13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incluso o valor de 6.286,78 ref. rescisão contratual
tirei os 4.000,00 do cbc
</t>
        </r>
      </text>
    </comment>
    <comment ref="BL13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TIREI 4.000,00 PAGOS COM VERBA CBC</t>
        </r>
      </text>
    </comment>
    <comment ref="BN135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valor total 8688,18 - menos 4.000,00 pago com a verba do bb edital 08 cbc</t>
        </r>
      </text>
    </comment>
    <comment ref="BT135" authorId="5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10.000,00 ref. acordo estevão
</t>
        </r>
      </text>
    </comment>
    <comment ref="BF136" authorId="12" shapeId="0">
      <text>
        <r>
          <rPr>
            <b/>
            <sz val="9"/>
            <color indexed="81"/>
            <rFont val="Segoe UI"/>
            <family val="2"/>
          </rPr>
          <t>Peter Pondorf:</t>
        </r>
        <r>
          <rPr>
            <sz val="9"/>
            <color indexed="81"/>
            <rFont val="Segoe UI"/>
            <family val="2"/>
          </rPr>
          <t xml:space="preserve">
retirado Maicou</t>
        </r>
      </text>
    </comment>
    <comment ref="S146" authorId="13" shapeId="0">
      <text>
        <r>
          <rPr>
            <sz val="11"/>
            <color theme="1"/>
            <rFont val="Calibri"/>
            <family val="2"/>
            <scheme val="minor"/>
          </rPr>
  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negativo ref. telesmar que vamos reclassificar como investimento area nautica</t>
        </r>
      </text>
    </comment>
    <comment ref="BF150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D154" authorId="2" shapeId="0">
      <text>
        <r>
          <rPr>
            <b/>
            <sz val="9"/>
            <color indexed="81"/>
            <rFont val="Segoe UI"/>
            <family val="2"/>
          </rPr>
          <t>YCSA:tivemos em 2020 a retirada das árvores por isso passou tanto o valor orçado</t>
        </r>
      </text>
    </comment>
    <comment ref="BF156" authorId="2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exceção do IPTU que foi excluido, uma vez que os valores ainda estão sendo contestados administrativamente</t>
        </r>
      </text>
    </comment>
  </commentList>
</comments>
</file>

<file path=xl/sharedStrings.xml><?xml version="1.0" encoding="utf-8"?>
<sst xmlns="http://schemas.openxmlformats.org/spreadsheetml/2006/main" count="291" uniqueCount="236">
  <si>
    <t>Orçado 2018</t>
  </si>
  <si>
    <t>Acumulado JAN A SET/18</t>
  </si>
  <si>
    <t xml:space="preserve">Projeção para o fechamento de 2018 (12meses) </t>
  </si>
  <si>
    <t>Projeção para 2019 reajuste proposto de 5%</t>
  </si>
  <si>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</si>
  <si>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</si>
  <si>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</si>
  <si>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</si>
  <si>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</si>
  <si>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</si>
  <si>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</si>
  <si>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</si>
  <si>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</si>
  <si>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</si>
  <si>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</si>
  <si>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</si>
  <si>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</si>
  <si>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</si>
  <si>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</si>
  <si>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</si>
  <si>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</si>
  <si>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aluguel de barcos para sócios</t>
  </si>
  <si>
    <t>RECEITAS FINANCERIAS</t>
  </si>
  <si>
    <t>Receitas Financeiras</t>
  </si>
  <si>
    <t>RECEITAS EVENTUAIS</t>
  </si>
  <si>
    <t>Tx transferência</t>
  </si>
  <si>
    <t>aluguel sede</t>
  </si>
  <si>
    <t>tx de obras</t>
  </si>
  <si>
    <t>uniformes e acessórios</t>
  </si>
  <si>
    <t>venda de imobilizado / doações</t>
  </si>
  <si>
    <t>título</t>
  </si>
  <si>
    <t>RECEITAS DIRETORIA DE VELA</t>
  </si>
  <si>
    <t>Acompanhamento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</si>
  <si>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</si>
  <si>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</si>
  <si>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</si>
  <si>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</si>
  <si>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</si>
  <si>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</si>
  <si>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</si>
  <si>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Férias+Encargos</t>
  </si>
  <si>
    <t>13º salario+Encargos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</si>
  <si>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</si>
  <si>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</si>
  <si>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</si>
  <si>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</si>
  <si>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</si>
  <si>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</si>
  <si>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</si>
  <si>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</si>
  <si>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</si>
  <si>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</si>
  <si>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</si>
  <si>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</si>
  <si>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</si>
  <si>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</si>
  <si>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</si>
  <si>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</si>
  <si>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</si>
  <si>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</si>
  <si>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</si>
  <si>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</si>
  <si>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Segurança (canil) e ração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</si>
  <si>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</si>
  <si>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</si>
  <si>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</si>
  <si>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</si>
  <si>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</si>
  <si>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</si>
  <si>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</si>
  <si>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Festa de Fim de Ano</t>
  </si>
  <si>
    <t>Hallowycsa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</si>
  <si>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</si>
  <si>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</si>
  <si>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</si>
  <si>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</si>
  <si>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</si>
  <si>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</si>
  <si>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</si>
  <si>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</si>
  <si>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</si>
  <si>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</si>
  <si>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</si>
  <si>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</si>
  <si>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13º salario</t>
  </si>
  <si>
    <t>Gratificações</t>
  </si>
  <si>
    <t>Férias</t>
  </si>
  <si>
    <t>Alimentação de funcionários / cesta básica / exames médicos  / Vale transporte /</t>
  </si>
  <si>
    <t>Manutenção e Conservação Veleiros da Escola de Vela</t>
  </si>
  <si>
    <t>Manutenção e Conservação Botes da Escola de Vela</t>
  </si>
  <si>
    <t>Combustível (Escola de Vela)</t>
  </si>
  <si>
    <t>Materiais escola de vela</t>
  </si>
  <si>
    <t>Instrutores Colégio Britânico (autonomos)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</si>
  <si>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</si>
  <si>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</si>
  <si>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</si>
  <si>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</si>
  <si>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</si>
  <si>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Eventos Náuticos e Regatas (comuns) inclusive juria</t>
  </si>
  <si>
    <t>Viagens/estadias para regatas</t>
  </si>
  <si>
    <t>Manutenção e Conservação Outros Barcos</t>
  </si>
  <si>
    <t>Uniformes e Adsivos Equip Vela</t>
  </si>
  <si>
    <t>Intercambio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</si>
  <si>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</si>
  <si>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</si>
  <si>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</si>
  <si>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</si>
  <si>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</si>
  <si>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</si>
  <si>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</si>
  <si>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</si>
  <si>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</si>
  <si>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</si>
  <si>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IPTU</t>
  </si>
  <si>
    <t>PIS/COFINS</t>
  </si>
  <si>
    <t>Benefícios ( vale transp. + cesta básica  )</t>
  </si>
  <si>
    <t>Alimentação de funcionários</t>
  </si>
  <si>
    <t>Budget 2019 - mensal</t>
  </si>
  <si>
    <t>Realizado JAN 19</t>
  </si>
  <si>
    <t>%</t>
  </si>
  <si>
    <t>Realizado FEV19</t>
  </si>
  <si>
    <t>Realizado MAR19</t>
  </si>
  <si>
    <t>Uniformes escola de vela</t>
  </si>
  <si>
    <t>Realizado ABR19</t>
  </si>
  <si>
    <t>Uniforme flotilha</t>
  </si>
  <si>
    <t>Funcionários terceirizados</t>
  </si>
  <si>
    <t>Realizado MAIO/19</t>
  </si>
  <si>
    <t xml:space="preserve">Eventos Náuticos </t>
  </si>
  <si>
    <t>Realizado JUNHO/19</t>
  </si>
  <si>
    <t>Realizado JULHO/19</t>
  </si>
  <si>
    <t>despesa de deslocamento, motoboy</t>
  </si>
  <si>
    <t>Conduções, viagens, cópias</t>
  </si>
  <si>
    <t>Realizado AGOSTO/19</t>
  </si>
  <si>
    <t>Realizado SETEMBRO/19</t>
  </si>
  <si>
    <t>Média mensal 2019</t>
  </si>
  <si>
    <t>Definido uma média após a cobrança dos retroativos</t>
  </si>
  <si>
    <t xml:space="preserve">Vamos manter como nos anos anteriores, somente para sócios e sem venda de convites </t>
  </si>
  <si>
    <t>Manter o mesmo valor de 2019</t>
  </si>
  <si>
    <t>Somente para as crianças - sem receita</t>
  </si>
  <si>
    <t>Valor previsto para o próximo ano</t>
  </si>
  <si>
    <t>A taxa de obras foi somada ao valor das mensalidades</t>
  </si>
  <si>
    <t>Considerando que metade dos sócios novos (12) comprem títulos de outros sócios</t>
  </si>
  <si>
    <t>Precisa definir como será a política de uniformes</t>
  </si>
  <si>
    <t xml:space="preserve">Valor ref. func. Terceirizados,não dá para usar a média </t>
  </si>
  <si>
    <t>manter formato só para crianças</t>
  </si>
  <si>
    <t>Páscoa</t>
  </si>
  <si>
    <t>Dia das Crianças</t>
  </si>
  <si>
    <t>Carnaval</t>
  </si>
  <si>
    <t>Dia das mães</t>
  </si>
  <si>
    <t>Dia dos pais</t>
  </si>
  <si>
    <t>Considerando salva vidas aos fds durante 9 meses</t>
  </si>
  <si>
    <t>Total do ano - realizado até setembro 19</t>
  </si>
  <si>
    <t xml:space="preserve">Proposta Mensal 2020 </t>
  </si>
  <si>
    <t>diminuir o investimento em uniformes já que não vendemos o que já foi confeccionado</t>
  </si>
  <si>
    <t>7 faixas e placas</t>
  </si>
  <si>
    <t>considerar sómente medalhas</t>
  </si>
  <si>
    <t>uma polo para cada velejador por semestre considerando 70 velejadores</t>
  </si>
  <si>
    <t>diminuindo o nr regatas diminuiu combustivel</t>
  </si>
  <si>
    <t>FEVESP - Patrocinio (juizes)</t>
  </si>
  <si>
    <t>Valor que fevesp reembolsa de juizes</t>
  </si>
  <si>
    <t xml:space="preserve">Zerar aluguel barcos conforme solicitado </t>
  </si>
  <si>
    <t>Considerar um reajuste na tx transferência para 8 mil / considerado média igual ano anterior</t>
  </si>
  <si>
    <t>aumentamos o valor do acompanhamento para equilibrar com as despesas da dir. vela (autonomos, combustivel e manut)</t>
  </si>
  <si>
    <t>Valor</t>
  </si>
  <si>
    <t>Total</t>
  </si>
  <si>
    <t>SINDICLUBE</t>
  </si>
  <si>
    <t>ACUMULADO ANO 2020</t>
  </si>
  <si>
    <t>Média mensal 2020</t>
  </si>
  <si>
    <t>Proposta Mesal 2021</t>
  </si>
  <si>
    <t>Proposta anual 2021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</si>
  <si>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</si>
  <si>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</si>
  <si>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</si>
  <si>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</si>
  <si>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</si>
  <si>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</si>
  <si>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</si>
  <si>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</si>
  <si>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</si>
  <si>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</si>
  <si>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</si>
  <si>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</si>
  <si>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</si>
  <si>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</si>
  <si>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</si>
  <si>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</si>
  <si>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</si>
  <si>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Honorário Pagante</t>
  </si>
  <si>
    <t>Honorário não pagante</t>
  </si>
  <si>
    <t>Novos Associados Pagantes 2020</t>
  </si>
  <si>
    <t>Saida de Associados</t>
  </si>
  <si>
    <t>Veterano Pagante 70%</t>
  </si>
  <si>
    <t>Veterano Pagante 50%</t>
  </si>
  <si>
    <t>Veterano Pagante 10%</t>
  </si>
  <si>
    <t>TX Obras</t>
  </si>
  <si>
    <t>Convites Sociais + (Parceiros)</t>
  </si>
  <si>
    <t>Energia</t>
  </si>
  <si>
    <t>Meses</t>
  </si>
  <si>
    <t>TX Transf</t>
  </si>
  <si>
    <t>Novos Associados Pagantes 2021 EV</t>
  </si>
  <si>
    <t>Título</t>
  </si>
  <si>
    <t>Total Tx Transf</t>
  </si>
  <si>
    <t>Total Título</t>
  </si>
  <si>
    <t>Remido</t>
  </si>
  <si>
    <t>Auditoria Contábil</t>
  </si>
  <si>
    <t>Copa da Juventude 2021</t>
  </si>
  <si>
    <t>Novos Associados Pagantes 2021</t>
  </si>
  <si>
    <t>Inscrições de regatas</t>
  </si>
  <si>
    <t>Troféus e Prêmios</t>
  </si>
  <si>
    <t>combustivel para campeonatos e treinos da flotilha</t>
  </si>
  <si>
    <t>CONTRIBUIÇÕES SOCIAIS</t>
  </si>
  <si>
    <t>Concessão Restaurante</t>
  </si>
  <si>
    <t>Patrocinios</t>
  </si>
  <si>
    <t>RECEITAS DIRETORIA SOCIAL</t>
  </si>
  <si>
    <t>RECEITAS DE SERVIÇOS DIVERSOS</t>
  </si>
  <si>
    <t>DDIRETORIA SOCIAL</t>
  </si>
  <si>
    <t>DESPESAS DE CUSTEIO</t>
  </si>
  <si>
    <t>INVESTIMENTOS</t>
  </si>
  <si>
    <t>aluguel de barcos para a escola de vela</t>
  </si>
  <si>
    <t>SOBRA DE CAIXA 2020</t>
  </si>
  <si>
    <t>COPA DA JUVENTUDE</t>
  </si>
  <si>
    <t>DIFERENÇA</t>
  </si>
  <si>
    <t>RECURSOS PARA INVESTIMENTOS</t>
  </si>
  <si>
    <t>Aluguel cheio</t>
  </si>
  <si>
    <t>Meio Aluguel</t>
  </si>
  <si>
    <t>meses Janeiro e Julho</t>
  </si>
  <si>
    <t>demais meses</t>
  </si>
  <si>
    <t>REAJUSTE NA MENSALIDADE</t>
  </si>
  <si>
    <t>Proposta 2021</t>
  </si>
  <si>
    <t>Proprietário individual</t>
  </si>
  <si>
    <t>Proposta mensal 2021</t>
  </si>
  <si>
    <t>Acumulado</t>
  </si>
  <si>
    <t>CONFEDERAÇÃO BRAS VELA</t>
  </si>
  <si>
    <t>Colaboradores terceirizados (faxineira, jardineiro, porteiros)</t>
  </si>
  <si>
    <t>Festas Hallowycsa / bazar / concerto</t>
  </si>
  <si>
    <t>Natal / CONCERTO NATAL / bazar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</si>
</sst>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00_-;\-* #,##0.0000_-;_-* &quot;-&quot;??_-;_-@_-"/>
    <numFmt numFmtId="165" formatCode="_(* #,##0.00_);_(* \(#,##0.00\);_(* &quot;-&quot;??_);_(@_)"/>
    <numFmt numFmtId="166" formatCode="&quot;R$&quot;#,##0.00"/>
    <numFmt numFmtId="167" formatCode="&quot;R$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 tint="-4.9989318521683403E-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4" fillId="0" borderId="0" xfId="0" applyFont="1"/>
    <xf numFmtId="164" fontId="5" fillId="0" borderId="3" xfId="1" applyNumberFormat="1" applyFont="1" applyBorder="1"/>
    <xf numFmtId="164" fontId="4" fillId="0" borderId="4" xfId="1" applyNumberFormat="1" applyFont="1" applyBorder="1"/>
    <xf numFmtId="164" fontId="6" fillId="0" borderId="4" xfId="1" applyNumberFormat="1" applyFont="1" applyBorder="1"/>
    <xf numFmtId="164" fontId="4" fillId="0" borderId="3" xfId="1" applyNumberFormat="1" applyFont="1" applyBorder="1"/>
    <xf numFmtId="43" fontId="5" fillId="0" borderId="3" xfId="1" applyFont="1" applyBorder="1"/>
    <xf numFmtId="43" fontId="4" fillId="0" borderId="4" xfId="1" applyFont="1" applyBorder="1"/>
    <xf numFmtId="43" fontId="6" fillId="0" borderId="4" xfId="1" applyFont="1" applyBorder="1"/>
    <xf numFmtId="43" fontId="4" fillId="0" borderId="3" xfId="1" applyFont="1" applyBorder="1"/>
    <xf numFmtId="43" fontId="4" fillId="0" borderId="0" xfId="0" applyNumberFormat="1" applyFont="1"/>
    <xf numFmtId="4" fontId="5" fillId="0" borderId="3" xfId="0" applyNumberFormat="1" applyFont="1" applyBorder="1"/>
    <xf numFmtId="4" fontId="4" fillId="0" borderId="4" xfId="0" applyNumberFormat="1" applyFont="1" applyBorder="1"/>
    <xf numFmtId="4" fontId="6" fillId="0" borderId="4" xfId="0" applyNumberFormat="1" applyFont="1" applyBorder="1"/>
    <xf numFmtId="4" fontId="4" fillId="0" borderId="3" xfId="0" applyNumberFormat="1" applyFont="1" applyBorder="1"/>
    <xf numFmtId="0" fontId="2" fillId="3" borderId="1" xfId="0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10" fontId="4" fillId="0" borderId="5" xfId="0" applyNumberFormat="1" applyFont="1" applyBorder="1"/>
    <xf numFmtId="10" fontId="6" fillId="0" borderId="0" xfId="0" applyNumberFormat="1" applyFont="1"/>
    <xf numFmtId="43" fontId="4" fillId="0" borderId="1" xfId="1" applyFont="1" applyBorder="1"/>
    <xf numFmtId="10" fontId="4" fillId="0" borderId="1" xfId="0" applyNumberFormat="1" applyFont="1" applyBorder="1"/>
    <xf numFmtId="0" fontId="4" fillId="0" borderId="1" xfId="0" applyFont="1" applyBorder="1" applyAlignment="1">
      <alignment horizontal="left"/>
    </xf>
    <xf numFmtId="4" fontId="4" fillId="4" borderId="1" xfId="0" applyNumberFormat="1" applyFont="1" applyFill="1" applyBorder="1" applyAlignment="1">
      <alignment horizontal="right"/>
    </xf>
    <xf numFmtId="4" fontId="4" fillId="4" borderId="2" xfId="0" applyNumberFormat="1" applyFont="1" applyFill="1" applyBorder="1" applyAlignment="1">
      <alignment horizontal="right"/>
    </xf>
    <xf numFmtId="0" fontId="4" fillId="0" borderId="1" xfId="0" applyFont="1" applyBorder="1"/>
    <xf numFmtId="4" fontId="4" fillId="0" borderId="1" xfId="0" applyNumberFormat="1" applyFont="1" applyBorder="1" applyAlignment="1">
      <alignment horizontal="right"/>
    </xf>
    <xf numFmtId="4" fontId="2" fillId="3" borderId="2" xfId="0" applyNumberFormat="1" applyFont="1" applyFill="1" applyBorder="1" applyAlignment="1">
      <alignment vertical="center" wrapText="1"/>
    </xf>
    <xf numFmtId="4" fontId="6" fillId="4" borderId="2" xfId="0" applyNumberFormat="1" applyFont="1" applyFill="1" applyBorder="1" applyAlignment="1">
      <alignment horizontal="right"/>
    </xf>
    <xf numFmtId="0" fontId="7" fillId="0" borderId="1" xfId="0" applyFont="1" applyBorder="1"/>
    <xf numFmtId="0" fontId="4" fillId="4" borderId="1" xfId="0" applyFont="1" applyFill="1" applyBorder="1"/>
    <xf numFmtId="4" fontId="6" fillId="4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vertical="center" wrapText="1"/>
    </xf>
    <xf numFmtId="165" fontId="2" fillId="5" borderId="2" xfId="1" applyNumberFormat="1" applyFont="1" applyFill="1" applyBorder="1" applyAlignment="1">
      <alignment horizontal="center" vertical="center"/>
    </xf>
    <xf numFmtId="165" fontId="2" fillId="5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4" xfId="0" applyFont="1" applyBorder="1"/>
    <xf numFmtId="0" fontId="6" fillId="0" borderId="4" xfId="0" applyFont="1" applyBorder="1"/>
    <xf numFmtId="165" fontId="2" fillId="5" borderId="1" xfId="1" applyNumberFormat="1" applyFont="1" applyFill="1" applyBorder="1"/>
    <xf numFmtId="0" fontId="3" fillId="6" borderId="1" xfId="0" applyFont="1" applyFill="1" applyBorder="1" applyAlignment="1">
      <alignment vertical="center" wrapText="1"/>
    </xf>
    <xf numFmtId="165" fontId="2" fillId="6" borderId="2" xfId="1" applyNumberFormat="1" applyFont="1" applyFill="1" applyBorder="1" applyAlignment="1">
      <alignment horizontal="center" vertical="center"/>
    </xf>
    <xf numFmtId="165" fontId="2" fillId="6" borderId="1" xfId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3" fontId="4" fillId="4" borderId="1" xfId="1" applyFont="1" applyFill="1" applyBorder="1" applyAlignment="1">
      <alignment horizontal="right"/>
    </xf>
    <xf numFmtId="0" fontId="4" fillId="0" borderId="1" xfId="0" applyFont="1" applyBorder="1" applyAlignment="1">
      <alignment vertical="center"/>
    </xf>
    <xf numFmtId="0" fontId="4" fillId="4" borderId="1" xfId="0" applyFont="1" applyFill="1" applyBorder="1" applyAlignment="1">
      <alignment vertical="center" wrapText="1"/>
    </xf>
    <xf numFmtId="43" fontId="4" fillId="4" borderId="2" xfId="0" applyNumberFormat="1" applyFont="1" applyFill="1" applyBorder="1"/>
    <xf numFmtId="43" fontId="4" fillId="4" borderId="1" xfId="0" applyNumberFormat="1" applyFont="1" applyFill="1" applyBorder="1"/>
    <xf numFmtId="4" fontId="4" fillId="0" borderId="2" xfId="0" applyNumberFormat="1" applyFont="1" applyBorder="1" applyAlignment="1">
      <alignment horizontal="right"/>
    </xf>
    <xf numFmtId="165" fontId="2" fillId="7" borderId="1" xfId="1" applyNumberFormat="1" applyFont="1" applyFill="1" applyBorder="1"/>
    <xf numFmtId="165" fontId="2" fillId="7" borderId="2" xfId="1" applyNumberFormat="1" applyFont="1" applyFill="1" applyBorder="1" applyAlignment="1">
      <alignment horizontal="center" vertical="center"/>
    </xf>
    <xf numFmtId="165" fontId="3" fillId="7" borderId="1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43" fontId="3" fillId="2" borderId="3" xfId="1" applyFont="1" applyFill="1" applyBorder="1" applyAlignment="1">
      <alignment horizontal="center" vertical="center" wrapText="1"/>
    </xf>
    <xf numFmtId="9" fontId="2" fillId="3" borderId="1" xfId="2" applyFont="1" applyFill="1" applyBorder="1" applyAlignment="1">
      <alignment vertical="center" wrapText="1"/>
    </xf>
    <xf numFmtId="9" fontId="4" fillId="0" borderId="1" xfId="2" applyFont="1" applyBorder="1"/>
    <xf numFmtId="9" fontId="4" fillId="4" borderId="1" xfId="2" applyFont="1" applyFill="1" applyBorder="1"/>
    <xf numFmtId="9" fontId="2" fillId="5" borderId="1" xfId="2" applyFont="1" applyFill="1" applyBorder="1" applyAlignment="1">
      <alignment vertical="center"/>
    </xf>
    <xf numFmtId="9" fontId="2" fillId="6" borderId="1" xfId="2" applyFont="1" applyFill="1" applyBorder="1" applyAlignment="1">
      <alignment vertical="center"/>
    </xf>
    <xf numFmtId="9" fontId="3" fillId="7" borderId="1" xfId="2" applyFont="1" applyFill="1" applyBorder="1" applyAlignment="1">
      <alignment vertical="center"/>
    </xf>
    <xf numFmtId="4" fontId="2" fillId="3" borderId="1" xfId="2" applyNumberFormat="1" applyFont="1" applyFill="1" applyBorder="1" applyAlignment="1">
      <alignment vertical="center" wrapText="1"/>
    </xf>
    <xf numFmtId="4" fontId="4" fillId="0" borderId="1" xfId="2" applyNumberFormat="1" applyFont="1" applyBorder="1"/>
    <xf numFmtId="4" fontId="4" fillId="4" borderId="1" xfId="2" applyNumberFormat="1" applyFont="1" applyFill="1" applyBorder="1"/>
    <xf numFmtId="4" fontId="2" fillId="5" borderId="1" xfId="2" applyNumberFormat="1" applyFont="1" applyFill="1" applyBorder="1" applyAlignment="1">
      <alignment vertical="center"/>
    </xf>
    <xf numFmtId="4" fontId="2" fillId="6" borderId="1" xfId="2" applyNumberFormat="1" applyFont="1" applyFill="1" applyBorder="1" applyAlignment="1">
      <alignment vertical="center"/>
    </xf>
    <xf numFmtId="4" fontId="3" fillId="7" borderId="1" xfId="2" applyNumberFormat="1" applyFont="1" applyFill="1" applyBorder="1" applyAlignment="1">
      <alignment vertical="center"/>
    </xf>
    <xf numFmtId="43" fontId="4" fillId="0" borderId="1" xfId="1" applyFont="1" applyFill="1" applyBorder="1" applyAlignment="1">
      <alignment horizontal="right"/>
    </xf>
    <xf numFmtId="4" fontId="0" fillId="0" borderId="0" xfId="0" applyNumberFormat="1"/>
    <xf numFmtId="2" fontId="0" fillId="0" borderId="0" xfId="0" applyNumberFormat="1"/>
    <xf numFmtId="4" fontId="4" fillId="0" borderId="1" xfId="0" applyNumberFormat="1" applyFont="1" applyFill="1" applyBorder="1" applyAlignment="1">
      <alignment horizontal="right"/>
    </xf>
    <xf numFmtId="165" fontId="2" fillId="0" borderId="1" xfId="1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vertical="center" wrapText="1"/>
    </xf>
    <xf numFmtId="43" fontId="0" fillId="0" borderId="0" xfId="0" applyNumberFormat="1"/>
    <xf numFmtId="17" fontId="3" fillId="2" borderId="3" xfId="1" applyNumberFormat="1" applyFont="1" applyFill="1" applyBorder="1" applyAlignment="1">
      <alignment horizontal="center" vertical="center" wrapText="1"/>
    </xf>
    <xf numFmtId="44" fontId="0" fillId="0" borderId="0" xfId="3" applyFont="1"/>
    <xf numFmtId="2" fontId="10" fillId="6" borderId="0" xfId="0" applyNumberFormat="1" applyFont="1" applyFill="1"/>
    <xf numFmtId="0" fontId="0" fillId="0" borderId="0" xfId="0" applyBorder="1"/>
    <xf numFmtId="4" fontId="0" fillId="0" borderId="0" xfId="0" applyNumberFormat="1" applyBorder="1"/>
    <xf numFmtId="43" fontId="0" fillId="0" borderId="0" xfId="0" applyNumberFormat="1" applyBorder="1"/>
    <xf numFmtId="43" fontId="0" fillId="0" borderId="0" xfId="1" applyFont="1" applyBorder="1"/>
    <xf numFmtId="0" fontId="0" fillId="0" borderId="6" xfId="0" applyBorder="1"/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166" fontId="11" fillId="0" borderId="0" xfId="0" applyNumberFormat="1" applyFon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66" fontId="0" fillId="0" borderId="0" xfId="0" applyNumberFormat="1" applyFont="1" applyAlignment="1">
      <alignment horizontal="center"/>
    </xf>
    <xf numFmtId="44" fontId="11" fillId="0" borderId="0" xfId="3" applyFont="1" applyAlignment="1">
      <alignment horizontal="center"/>
    </xf>
    <xf numFmtId="0" fontId="12" fillId="0" borderId="1" xfId="0" applyFont="1" applyBorder="1"/>
    <xf numFmtId="4" fontId="12" fillId="4" borderId="1" xfId="0" applyNumberFormat="1" applyFont="1" applyFill="1" applyBorder="1" applyAlignment="1">
      <alignment horizontal="right"/>
    </xf>
    <xf numFmtId="4" fontId="12" fillId="4" borderId="2" xfId="0" applyNumberFormat="1" applyFont="1" applyFill="1" applyBorder="1" applyAlignment="1">
      <alignment horizontal="right"/>
    </xf>
    <xf numFmtId="9" fontId="12" fillId="4" borderId="1" xfId="2" applyFont="1" applyFill="1" applyBorder="1"/>
    <xf numFmtId="4" fontId="12" fillId="4" borderId="1" xfId="2" applyNumberFormat="1" applyFont="1" applyFill="1" applyBorder="1"/>
    <xf numFmtId="4" fontId="12" fillId="0" borderId="1" xfId="0" applyNumberFormat="1" applyFont="1" applyFill="1" applyBorder="1" applyAlignment="1">
      <alignment horizontal="right"/>
    </xf>
    <xf numFmtId="0" fontId="0" fillId="0" borderId="0" xfId="0" applyFont="1"/>
    <xf numFmtId="4" fontId="0" fillId="0" borderId="0" xfId="0" applyNumberFormat="1" applyFont="1"/>
    <xf numFmtId="43" fontId="0" fillId="0" borderId="0" xfId="1" applyFont="1"/>
    <xf numFmtId="0" fontId="0" fillId="0" borderId="7" xfId="0" applyBorder="1"/>
    <xf numFmtId="43" fontId="0" fillId="0" borderId="7" xfId="1" applyFont="1" applyBorder="1"/>
    <xf numFmtId="43" fontId="0" fillId="0" borderId="8" xfId="1" applyFont="1" applyBorder="1"/>
    <xf numFmtId="9" fontId="0" fillId="0" borderId="0" xfId="0" applyNumberFormat="1" applyBorder="1" applyAlignment="1">
      <alignment horizontal="left"/>
    </xf>
    <xf numFmtId="43" fontId="0" fillId="0" borderId="9" xfId="1" applyFont="1" applyBorder="1"/>
    <xf numFmtId="0" fontId="0" fillId="0" borderId="0" xfId="0" applyFill="1" applyBorder="1"/>
    <xf numFmtId="4" fontId="0" fillId="0" borderId="0" xfId="0" applyNumberFormat="1" applyBorder="1" applyAlignment="1">
      <alignment horizontal="left" indent="1"/>
    </xf>
    <xf numFmtId="0" fontId="0" fillId="0" borderId="0" xfId="0" applyBorder="1" applyAlignment="1">
      <alignment horizontal="left" indent="1"/>
    </xf>
    <xf numFmtId="4" fontId="4" fillId="4" borderId="10" xfId="0" applyNumberFormat="1" applyFont="1" applyFill="1" applyBorder="1" applyAlignment="1">
      <alignment horizontal="right"/>
    </xf>
    <xf numFmtId="4" fontId="7" fillId="0" borderId="10" xfId="0" applyNumberFormat="1" applyFont="1" applyFill="1" applyBorder="1" applyAlignment="1">
      <alignment vertical="center" wrapText="1"/>
    </xf>
    <xf numFmtId="9" fontId="4" fillId="4" borderId="10" xfId="2" applyFont="1" applyFill="1" applyBorder="1"/>
    <xf numFmtId="0" fontId="0" fillId="0" borderId="1" xfId="0" applyBorder="1"/>
    <xf numFmtId="0" fontId="0" fillId="0" borderId="0" xfId="0" applyBorder="1" applyAlignment="1">
      <alignment horizontal="center"/>
    </xf>
    <xf numFmtId="0" fontId="0" fillId="6" borderId="11" xfId="0" applyFill="1" applyBorder="1"/>
    <xf numFmtId="4" fontId="0" fillId="0" borderId="0" xfId="0" applyNumberFormat="1" applyBorder="1" applyAlignment="1">
      <alignment horizontal="left" indent="2"/>
    </xf>
    <xf numFmtId="0" fontId="0" fillId="0" borderId="0" xfId="0" applyBorder="1" applyAlignment="1">
      <alignment horizontal="left" indent="2"/>
    </xf>
    <xf numFmtId="0" fontId="0" fillId="0" borderId="0" xfId="0" applyAlignment="1">
      <alignment horizontal="left" indent="1"/>
    </xf>
    <xf numFmtId="0" fontId="0" fillId="0" borderId="13" xfId="0" applyBorder="1"/>
    <xf numFmtId="0" fontId="0" fillId="0" borderId="14" xfId="0" applyBorder="1"/>
    <xf numFmtId="0" fontId="0" fillId="0" borderId="13" xfId="0" applyBorder="1" applyAlignment="1">
      <alignment horizontal="left" indent="1"/>
    </xf>
    <xf numFmtId="4" fontId="0" fillId="0" borderId="14" xfId="0" applyNumberFormat="1" applyBorder="1"/>
    <xf numFmtId="0" fontId="0" fillId="0" borderId="13" xfId="0" applyBorder="1" applyAlignment="1">
      <alignment horizontal="left" indent="2"/>
    </xf>
    <xf numFmtId="43" fontId="0" fillId="0" borderId="14" xfId="1" applyFont="1" applyBorder="1"/>
    <xf numFmtId="4" fontId="0" fillId="0" borderId="13" xfId="0" applyNumberFormat="1" applyBorder="1" applyAlignment="1">
      <alignment horizontal="left" indent="1"/>
    </xf>
    <xf numFmtId="0" fontId="0" fillId="0" borderId="15" xfId="0" applyBorder="1"/>
    <xf numFmtId="4" fontId="0" fillId="0" borderId="16" xfId="0" applyNumberFormat="1" applyBorder="1"/>
    <xf numFmtId="4" fontId="13" fillId="0" borderId="13" xfId="0" applyNumberFormat="1" applyFont="1" applyBorder="1" applyAlignment="1">
      <alignment horizontal="center"/>
    </xf>
    <xf numFmtId="167" fontId="4" fillId="0" borderId="1" xfId="0" applyNumberFormat="1" applyFont="1" applyFill="1" applyBorder="1" applyAlignment="1">
      <alignment horizontal="right"/>
    </xf>
    <xf numFmtId="167" fontId="4" fillId="4" borderId="1" xfId="0" applyNumberFormat="1" applyFont="1" applyFill="1" applyBorder="1" applyAlignment="1">
      <alignment horizontal="right"/>
    </xf>
    <xf numFmtId="167" fontId="4" fillId="4" borderId="1" xfId="1" applyNumberFormat="1" applyFont="1" applyFill="1" applyBorder="1" applyAlignment="1">
      <alignment horizontal="right"/>
    </xf>
    <xf numFmtId="167" fontId="12" fillId="0" borderId="1" xfId="0" applyNumberFormat="1" applyFont="1" applyFill="1" applyBorder="1" applyAlignment="1">
      <alignment horizontal="right"/>
    </xf>
    <xf numFmtId="167" fontId="2" fillId="3" borderId="1" xfId="0" applyNumberFormat="1" applyFont="1" applyFill="1" applyBorder="1" applyAlignment="1">
      <alignment horizontal="right" vertical="center" wrapText="1"/>
    </xf>
    <xf numFmtId="167" fontId="4" fillId="0" borderId="1" xfId="2" applyNumberFormat="1" applyFont="1" applyBorder="1" applyAlignment="1">
      <alignment horizontal="right"/>
    </xf>
    <xf numFmtId="167" fontId="2" fillId="5" borderId="1" xfId="1" applyNumberFormat="1" applyFont="1" applyFill="1" applyBorder="1" applyAlignment="1">
      <alignment horizontal="right" vertical="center"/>
    </xf>
    <xf numFmtId="167" fontId="4" fillId="0" borderId="1" xfId="0" applyNumberFormat="1" applyFont="1" applyBorder="1" applyAlignment="1">
      <alignment horizontal="right"/>
    </xf>
    <xf numFmtId="167" fontId="2" fillId="6" borderId="1" xfId="1" applyNumberFormat="1" applyFont="1" applyFill="1" applyBorder="1" applyAlignment="1">
      <alignment horizontal="right" vertical="center"/>
    </xf>
    <xf numFmtId="167" fontId="3" fillId="7" borderId="1" xfId="1" applyNumberFormat="1" applyFont="1" applyFill="1" applyBorder="1" applyAlignment="1">
      <alignment horizontal="right" vertical="center"/>
    </xf>
    <xf numFmtId="17" fontId="3" fillId="2" borderId="1" xfId="1" applyNumberFormat="1" applyFont="1" applyFill="1" applyBorder="1" applyAlignment="1">
      <alignment horizontal="center" vertical="center" wrapText="1"/>
    </xf>
    <xf numFmtId="167" fontId="4" fillId="4" borderId="10" xfId="0" applyNumberFormat="1" applyFont="1" applyFill="1" applyBorder="1" applyAlignment="1">
      <alignment horizontal="right"/>
    </xf>
    <xf numFmtId="9" fontId="4" fillId="0" borderId="1" xfId="2" applyFont="1" applyFill="1" applyBorder="1"/>
    <xf numFmtId="9" fontId="12" fillId="0" borderId="1" xfId="2" applyFont="1" applyFill="1" applyBorder="1"/>
    <xf numFmtId="0" fontId="0" fillId="6" borderId="12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10/relationships/person" Target="persons/person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INANCEIRO YCSA" id="{50CD0A62-B4C3-41F8-8585-53D61D6A3053}" userId="FINANCEIRO YCSA" providerId="Non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10" dT="2019-07-04T19:18:29.39" personId="{50CD0A62-B4C3-41F8-8585-53D61D6A3053}" id="{C6BAA272-FF2E-4B04-BB70-261677DD8031}">
    <text>6979 eventos nauticos e 4821 uniformes</text>
  </threadedComment>
  <threadedComment ref="Q10" dT="2019-07-04T19:18:29.39" personId="{50CD0A62-B4C3-41F8-8585-53D61D6A3053}" id="{5A392C16-C73B-49E7-919D-3FAABDC6996E}">
    <text>6979 eventos nauticos e 4821 uniformes</text>
  </threadedComment>
  <threadedComment ref="AB12" dT="2019-10-24T22:05:42.42" personId="{50CD0A62-B4C3-41F8-8585-53D61D6A3053}" id="{CFB2DF8B-AF26-401A-A708-87DE12E7CC87}">
    <text>Definido valor fixo</text>
  </threadedComment>
  <threadedComment ref="K41" dT="2019-06-02T15:48:46.11" personId="{50CD0A62-B4C3-41F8-8585-53D61D6A3053}" id="{252CE61F-04A5-42DF-A37E-4FCE5F99E0E7}">
    <text>uniformes - receita</text>
  </threadedComment>
  <threadedComment ref="U58" dT="2019-10-04T14:51:46.39" personId="{50CD0A62-B4C3-41F8-8585-53D61D6A3053}" id="{8B811468-05FD-4D0B-A3A7-B1E4F9364D33}">
    <text>incluso acerto de maio la vieiras</text>
  </threadedComment>
  <threadedComment ref="M68" dT="2019-05-24T18:53:21.86" personId="{50CD0A62-B4C3-41F8-8585-53D61D6A3053}" id="{1EADD8A9-55A6-41B3-AA16-80B937BCE40F}">
    <text>Microsoft renovação</text>
  </threadedComment>
  <threadedComment ref="O85" dT="2019-07-04T20:21:07.61" personId="{50CD0A62-B4C3-41F8-8585-53D61D6A3053}" id="{83BC6E06-CEE6-47D7-AD2B-DA1D16ABEEE5}">
    <text>tapetes box vestiário feminino , colchonetes dia das maes</text>
  </threadedComment>
  <threadedComment ref="Q85" dT="2019-07-04T20:21:07.61" personId="{50CD0A62-B4C3-41F8-8585-53D61D6A3053}" id="{A5D1E868-4ABB-4DD9-8B21-3FDFB9AE55C0}">
    <text>tapetes box vestiário feminino , colchonetes dia das maes</text>
  </threadedComment>
  <threadedComment ref="K102" dT="2019-05-07T20:16:35.19" personId="{50CD0A62-B4C3-41F8-8585-53D61D6A3053}" id="{E474104C-7D80-4E94-8D77-98D89E1BEE75}">
    <text>carnaval e páscoa</text>
  </threadedComment>
  <threadedComment ref="M102" dT="2019-05-07T20:16:35.19" personId="{50CD0A62-B4C3-41F8-8585-53D61D6A3053}" id="{1242B1AC-C766-494E-9A6B-6028B678E7AC}">
    <text>carnaval e páscoa</text>
  </threadedComment>
  <threadedComment ref="S141" dT="2019-08-22T20:03:45.18" personId="{50CD0A62-B4C3-41F8-8585-53D61D6A3053}" id="{CAAE3E44-842D-4B68-ACE8-9E0DC31B918A}">
    <text>Valor negativo ref. telesmar que vamos reclassificar como investimento area nautica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5"/>
  <sheetViews>
    <sheetView zoomScale="80" zoomScaleNormal="80" workbookViewId="0">
      <selection activeCell="B2" sqref="B2:H24"/>
    </sheetView>
  </sheetViews>
  <sheetFormatPr defaultRowHeight="15" x14ac:dyDescent="0.25"/>
  <cols>
    <col min="1" max="1" width="14.28515625" customWidth="1"/>
    <col min="2" max="2" width="34.28515625" bestFit="1" customWidth="1"/>
    <col min="3" max="4" width="13.85546875" bestFit="1" customWidth="1"/>
    <col min="5" max="5" width="22.5703125" customWidth="1"/>
    <col min="6" max="7" width="13.85546875" bestFit="1" customWidth="1"/>
    <col min="8" max="8" width="15.5703125" customWidth="1"/>
    <col min="9" max="9" width="13.28515625" bestFit="1" customWidth="1"/>
    <col min="12" max="12" width="13.28515625" bestFit="1" customWidth="1"/>
    <col min="13" max="13" width="11.5703125" bestFit="1" customWidth="1"/>
  </cols>
  <sheetData>
    <row r="1" spans="2:13" ht="22.5" customHeight="1" thickBot="1" x14ac:dyDescent="0.3"/>
    <row r="2" spans="2:13" ht="15.75" thickBot="1" x14ac:dyDescent="0.3">
      <c r="B2" s="143" t="s">
        <v>4</v>
      </c>
      <c r="C2" s="142"/>
      <c r="D2" s="144"/>
      <c r="E2" s="142" t="s">
        <v>172</v>
      </c>
      <c r="F2" s="142"/>
      <c r="G2" s="142"/>
      <c r="H2" s="114" t="s">
        <v>221</v>
      </c>
    </row>
    <row r="3" spans="2:13" x14ac:dyDescent="0.25">
      <c r="B3" s="118"/>
      <c r="C3" s="78"/>
      <c r="D3" s="119"/>
      <c r="E3" s="78"/>
      <c r="F3" s="78"/>
      <c r="G3" s="78"/>
      <c r="H3" s="101"/>
    </row>
    <row r="4" spans="2:13" x14ac:dyDescent="0.25">
      <c r="B4" s="120" t="s">
        <v>5</v>
      </c>
      <c r="C4" s="81">
        <f>SUM(C6:C15)</f>
        <v>3923547.2159600002</v>
      </c>
      <c r="D4" s="121"/>
      <c r="E4" s="108" t="s">
        <v>216</v>
      </c>
      <c r="F4" s="80">
        <f>SUM(F6:F16)</f>
        <v>3786313.5561493332</v>
      </c>
      <c r="G4" s="78"/>
      <c r="H4" s="102">
        <f t="shared" ref="H4:H16" si="0">C4-F4</f>
        <v>137233.65981066693</v>
      </c>
      <c r="I4" s="74"/>
      <c r="L4" s="74"/>
      <c r="M4" s="74"/>
    </row>
    <row r="5" spans="2:13" x14ac:dyDescent="0.25">
      <c r="B5" s="120"/>
      <c r="C5" s="81"/>
      <c r="D5" s="119"/>
      <c r="E5" s="108"/>
      <c r="F5" s="78"/>
      <c r="G5" s="78"/>
      <c r="H5" s="102"/>
      <c r="L5" s="74"/>
      <c r="M5" s="74"/>
    </row>
    <row r="6" spans="2:13" x14ac:dyDescent="0.25">
      <c r="B6" s="120" t="s">
        <v>6</v>
      </c>
      <c r="C6" s="81">
        <f>D7+D8</f>
        <v>2994116.4859600002</v>
      </c>
      <c r="D6" s="121"/>
      <c r="E6" s="108" t="s">
        <v>178</v>
      </c>
      <c r="F6" s="80">
        <f>SUM(G7:G11)</f>
        <v>2690696.0635146666</v>
      </c>
      <c r="G6" s="78"/>
      <c r="H6" s="102">
        <f t="shared" si="0"/>
        <v>303420.42244533356</v>
      </c>
      <c r="I6" s="74"/>
    </row>
    <row r="7" spans="2:13" x14ac:dyDescent="0.25">
      <c r="B7" s="122" t="s">
        <v>210</v>
      </c>
      <c r="C7" s="81"/>
      <c r="D7" s="123">
        <f>Budget!BF11</f>
        <v>2015935.7349600003</v>
      </c>
      <c r="E7" s="115" t="s">
        <v>173</v>
      </c>
      <c r="F7" s="78"/>
      <c r="G7" s="81">
        <f>Budget!BF53</f>
        <v>1812646.8399999999</v>
      </c>
      <c r="H7" s="102"/>
      <c r="I7" s="69"/>
    </row>
    <row r="8" spans="2:13" x14ac:dyDescent="0.25">
      <c r="B8" s="122" t="s">
        <v>214</v>
      </c>
      <c r="C8" s="81"/>
      <c r="D8" s="123">
        <f>Budget!BF16</f>
        <v>978180.75100000005</v>
      </c>
      <c r="E8" s="115" t="s">
        <v>174</v>
      </c>
      <c r="F8" s="78"/>
      <c r="G8" s="81">
        <f>Budget!BF66+Budget!BF68+Budget!BF76+Budget!BF83</f>
        <v>616358.23</v>
      </c>
      <c r="H8" s="102"/>
    </row>
    <row r="9" spans="2:13" x14ac:dyDescent="0.25">
      <c r="B9" s="120"/>
      <c r="C9" s="81"/>
      <c r="D9" s="121"/>
      <c r="E9" s="116" t="s">
        <v>175</v>
      </c>
      <c r="F9" s="78"/>
      <c r="G9" s="81">
        <f>Budget!BF149</f>
        <v>145035</v>
      </c>
      <c r="H9" s="102"/>
    </row>
    <row r="10" spans="2:13" x14ac:dyDescent="0.25">
      <c r="B10" s="127">
        <f>D7+SUM(Budget!BF17:BF20)</f>
        <v>2897714.7359600002</v>
      </c>
      <c r="C10" s="81"/>
      <c r="D10" s="121"/>
      <c r="E10" s="116" t="s">
        <v>176</v>
      </c>
      <c r="F10" s="78"/>
      <c r="G10" s="81">
        <f>Budget!BF156</f>
        <v>46275.562666666665</v>
      </c>
      <c r="H10" s="102"/>
    </row>
    <row r="11" spans="2:13" x14ac:dyDescent="0.25">
      <c r="B11" s="120"/>
      <c r="C11" s="81"/>
      <c r="D11" s="121"/>
      <c r="E11" s="116" t="s">
        <v>177</v>
      </c>
      <c r="F11" s="78"/>
      <c r="G11" s="81">
        <f>Budget!BF108</f>
        <v>70380.430848000004</v>
      </c>
      <c r="H11" s="102"/>
    </row>
    <row r="12" spans="2:13" x14ac:dyDescent="0.25">
      <c r="B12" s="120"/>
      <c r="C12" s="78"/>
      <c r="D12" s="119"/>
      <c r="E12" s="117"/>
      <c r="H12" s="101"/>
    </row>
    <row r="13" spans="2:13" x14ac:dyDescent="0.25">
      <c r="B13" s="120" t="s">
        <v>179</v>
      </c>
      <c r="C13" s="81">
        <f>Budget!BF25</f>
        <v>547050</v>
      </c>
      <c r="D13" s="121"/>
      <c r="E13" s="107"/>
      <c r="F13" s="81">
        <f>Budget!BF114</f>
        <v>521000.00233066658</v>
      </c>
      <c r="G13" s="78"/>
      <c r="H13" s="102">
        <f t="shared" si="0"/>
        <v>26049.997669333417</v>
      </c>
      <c r="I13" s="74"/>
    </row>
    <row r="14" spans="2:13" x14ac:dyDescent="0.25">
      <c r="B14" s="120" t="s">
        <v>180</v>
      </c>
      <c r="C14" s="81">
        <f>Budget!BF37</f>
        <v>319400</v>
      </c>
      <c r="D14" s="121"/>
      <c r="E14" s="107"/>
      <c r="F14" s="81">
        <f>Budget!BF133</f>
        <v>409029.89990399999</v>
      </c>
      <c r="G14" s="78"/>
      <c r="H14" s="102">
        <f t="shared" si="0"/>
        <v>-89629.899903999991</v>
      </c>
      <c r="I14" s="74"/>
    </row>
    <row r="15" spans="2:13" x14ac:dyDescent="0.25">
      <c r="B15" s="120" t="s">
        <v>215</v>
      </c>
      <c r="C15" s="81">
        <f>Budget!BF46+Budget!BF47</f>
        <v>62980.729999999996</v>
      </c>
      <c r="D15" s="121"/>
      <c r="E15" s="107"/>
      <c r="F15" s="81">
        <f>Budget!BF93</f>
        <v>105587.59040000003</v>
      </c>
      <c r="G15" s="78"/>
      <c r="H15" s="102">
        <f t="shared" si="0"/>
        <v>-42606.860400000034</v>
      </c>
      <c r="I15" s="74"/>
    </row>
    <row r="16" spans="2:13" x14ac:dyDescent="0.25">
      <c r="B16" s="124" t="s">
        <v>220</v>
      </c>
      <c r="C16" s="81"/>
      <c r="D16" s="121"/>
      <c r="E16" s="107" t="s">
        <v>220</v>
      </c>
      <c r="F16" s="81">
        <f>Budget!BF161</f>
        <v>60000</v>
      </c>
      <c r="G16" s="78"/>
      <c r="H16" s="102">
        <f t="shared" si="0"/>
        <v>-60000</v>
      </c>
      <c r="I16" s="74"/>
    </row>
    <row r="17" spans="2:9" x14ac:dyDescent="0.25">
      <c r="B17" s="124"/>
      <c r="C17" s="81"/>
      <c r="D17" s="121"/>
      <c r="E17" s="79"/>
      <c r="F17" s="81"/>
      <c r="G17" s="78"/>
      <c r="H17" s="102"/>
      <c r="I17" s="74"/>
    </row>
    <row r="18" spans="2:9" x14ac:dyDescent="0.25">
      <c r="B18" s="120" t="s">
        <v>170</v>
      </c>
      <c r="C18" s="81">
        <f>Budget!BF30</f>
        <v>25000</v>
      </c>
      <c r="D18" s="121"/>
      <c r="E18" s="78"/>
      <c r="F18" s="78"/>
      <c r="G18" s="81"/>
      <c r="H18" s="102">
        <f>C18-F11</f>
        <v>25000</v>
      </c>
    </row>
    <row r="19" spans="2:9" ht="15.75" thickBot="1" x14ac:dyDescent="0.3">
      <c r="B19" s="125"/>
      <c r="C19" s="82"/>
      <c r="D19" s="126"/>
      <c r="E19" s="82"/>
      <c r="F19" s="82"/>
      <c r="G19" s="82"/>
      <c r="H19" s="103"/>
    </row>
    <row r="20" spans="2:9" x14ac:dyDescent="0.25">
      <c r="C20" s="100"/>
    </row>
    <row r="21" spans="2:9" x14ac:dyDescent="0.25">
      <c r="B21" t="s">
        <v>227</v>
      </c>
      <c r="C21" s="81">
        <f>B10*D21</f>
        <v>144885.73679800003</v>
      </c>
      <c r="D21" s="104">
        <v>0.05</v>
      </c>
      <c r="E21" s="78"/>
      <c r="F21" s="80"/>
      <c r="G21" s="78"/>
    </row>
    <row r="22" spans="2:9" x14ac:dyDescent="0.25">
      <c r="B22" s="78" t="s">
        <v>219</v>
      </c>
      <c r="C22" s="81">
        <v>330000</v>
      </c>
      <c r="D22" s="78"/>
      <c r="E22" s="78"/>
      <c r="F22" s="78"/>
      <c r="G22" s="78"/>
    </row>
    <row r="23" spans="2:9" ht="15.75" thickBot="1" x14ac:dyDescent="0.3">
      <c r="B23" s="78" t="s">
        <v>24</v>
      </c>
      <c r="C23" s="105">
        <f>Budget!BF32</f>
        <v>381751</v>
      </c>
      <c r="D23" s="78"/>
      <c r="E23" s="78"/>
      <c r="F23" s="113">
        <v>2021</v>
      </c>
      <c r="G23" s="113">
        <v>2022</v>
      </c>
      <c r="H23" s="84">
        <v>2023</v>
      </c>
    </row>
    <row r="24" spans="2:9" ht="15.75" thickTop="1" x14ac:dyDescent="0.25">
      <c r="B24" s="106" t="s">
        <v>222</v>
      </c>
      <c r="C24" s="81">
        <f>C23+C21+C22</f>
        <v>856636.73679800006</v>
      </c>
      <c r="D24" s="78"/>
      <c r="E24" s="78" t="s">
        <v>217</v>
      </c>
      <c r="F24" s="81">
        <v>852000</v>
      </c>
      <c r="G24" s="81">
        <v>389000</v>
      </c>
      <c r="H24" s="100">
        <v>210000</v>
      </c>
    </row>
    <row r="25" spans="2:9" x14ac:dyDescent="0.25">
      <c r="B25" s="78"/>
      <c r="C25" s="78"/>
      <c r="D25" s="78"/>
      <c r="E25" s="78"/>
      <c r="F25" s="78"/>
      <c r="G25" s="78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H161"/>
  <sheetViews>
    <sheetView tabSelected="1" zoomScale="80" zoomScaleNormal="80" workbookViewId="0">
      <pane ySplit="5" topLeftCell="A147" activePane="bottomLeft" state="frozen"/>
      <selection pane="bottomLeft" activeCell="CD162" sqref="CD162"/>
    </sheetView>
  </sheetViews>
  <sheetFormatPr defaultRowHeight="15" x14ac:dyDescent="0.25"/>
  <cols>
    <col min="1" max="1" width="47" customWidth="1"/>
    <col min="2" max="5" width="16.140625" hidden="1" customWidth="1"/>
    <col min="6" max="7" width="14.28515625" hidden="1" customWidth="1"/>
    <col min="8" max="8" width="9.140625" hidden="1" customWidth="1"/>
    <col min="9" max="9" width="14.28515625" hidden="1" customWidth="1"/>
    <col min="10" max="10" width="14" hidden="1" customWidth="1"/>
    <col min="11" max="11" width="14.28515625" hidden="1" customWidth="1"/>
    <col min="12" max="24" width="14" hidden="1" customWidth="1"/>
    <col min="25" max="25" width="16.140625" hidden="1" customWidth="1"/>
    <col min="26" max="26" width="9.140625" hidden="1" customWidth="1"/>
    <col min="27" max="28" width="19.85546875" hidden="1" customWidth="1"/>
    <col min="29" max="29" width="10.140625" hidden="1" customWidth="1"/>
    <col min="30" max="30" width="9.140625" hidden="1" customWidth="1"/>
    <col min="31" max="31" width="11.140625" hidden="1" customWidth="1"/>
    <col min="32" max="32" width="12.28515625" hidden="1" customWidth="1"/>
    <col min="33" max="33" width="17.28515625" hidden="1" customWidth="1"/>
    <col min="34" max="34" width="10.85546875" hidden="1" customWidth="1"/>
    <col min="35" max="35" width="19.85546875" hidden="1" customWidth="1"/>
    <col min="36" max="36" width="9.140625" hidden="1" customWidth="1"/>
    <col min="37" max="37" width="19.85546875" hidden="1" customWidth="1"/>
    <col min="38" max="38" width="9.140625" hidden="1" customWidth="1"/>
    <col min="39" max="39" width="14.5703125" hidden="1" customWidth="1"/>
    <col min="40" max="40" width="9.140625" hidden="1" customWidth="1"/>
    <col min="41" max="41" width="14.5703125" hidden="1" customWidth="1"/>
    <col min="42" max="42" width="9.140625" hidden="1" customWidth="1"/>
    <col min="43" max="43" width="14.5703125" hidden="1" customWidth="1"/>
    <col min="44" max="44" width="8.85546875" hidden="1" customWidth="1"/>
    <col min="45" max="45" width="14.5703125" hidden="1" customWidth="1"/>
    <col min="46" max="46" width="8.85546875" hidden="1" customWidth="1"/>
    <col min="47" max="47" width="14.5703125" hidden="1" customWidth="1"/>
    <col min="48" max="48" width="8.85546875" hidden="1" customWidth="1"/>
    <col min="49" max="49" width="14.5703125" hidden="1" customWidth="1"/>
    <col min="50" max="50" width="8.85546875" hidden="1" customWidth="1"/>
    <col min="51" max="51" width="14.5703125" hidden="1" customWidth="1"/>
    <col min="52" max="52" width="8.85546875" hidden="1" customWidth="1"/>
    <col min="53" max="53" width="17.5703125" hidden="1" customWidth="1"/>
    <col min="54" max="54" width="8.85546875" hidden="1" customWidth="1"/>
    <col min="55" max="55" width="18.7109375" hidden="1" customWidth="1"/>
    <col min="56" max="56" width="19.5703125" style="76" hidden="1" customWidth="1"/>
    <col min="57" max="57" width="19.28515625" style="76" hidden="1" customWidth="1"/>
    <col min="58" max="58" width="18.42578125" style="87" bestFit="1" customWidth="1"/>
    <col min="59" max="59" width="18.42578125" style="87" customWidth="1"/>
    <col min="60" max="60" width="15.7109375" hidden="1" customWidth="1"/>
    <col min="61" max="61" width="9.140625" hidden="1" customWidth="1"/>
    <col min="62" max="62" width="15.7109375" hidden="1" customWidth="1"/>
    <col min="63" max="63" width="9.140625" hidden="1" customWidth="1"/>
    <col min="64" max="64" width="16.7109375" hidden="1" customWidth="1"/>
    <col min="65" max="65" width="9.140625" hidden="1" customWidth="1"/>
    <col min="66" max="66" width="15" hidden="1" customWidth="1"/>
    <col min="67" max="67" width="9.140625" hidden="1" customWidth="1"/>
    <col min="68" max="68" width="16.85546875" hidden="1" customWidth="1"/>
    <col min="69" max="69" width="9.140625" hidden="1" customWidth="1"/>
    <col min="70" max="70" width="24" hidden="1" customWidth="1"/>
    <col min="71" max="71" width="9.140625" hidden="1" customWidth="1"/>
    <col min="72" max="72" width="14.28515625" hidden="1" customWidth="1"/>
    <col min="73" max="73" width="9.140625" hidden="1" customWidth="1"/>
    <col min="74" max="74" width="14.28515625" hidden="1" customWidth="1"/>
    <col min="75" max="75" width="9.140625" hidden="1" customWidth="1"/>
    <col min="76" max="76" width="14.28515625" hidden="1" customWidth="1"/>
    <col min="77" max="77" width="9.140625" customWidth="1"/>
    <col min="78" max="78" width="16.140625" customWidth="1"/>
    <col min="79" max="79" width="9.140625" customWidth="1"/>
    <col min="80" max="80" width="15.140625" customWidth="1"/>
    <col min="81" max="81" width="14.85546875" bestFit="1" customWidth="1"/>
    <col min="82" max="84" width="21.140625" customWidth="1"/>
    <col min="86" max="86" width="9.85546875" bestFit="1" customWidth="1"/>
  </cols>
  <sheetData>
    <row r="1" spans="1:85" ht="26.25" customHeight="1" x14ac:dyDescent="0.25">
      <c r="BA1" s="77">
        <v>1.04</v>
      </c>
      <c r="BC1">
        <v>1.05</v>
      </c>
    </row>
    <row r="2" spans="1:85" ht="89.25" customHeight="1" x14ac:dyDescent="0.25">
      <c r="A2" s="1"/>
      <c r="B2" s="2" t="s">
        <v>0</v>
      </c>
      <c r="C2" s="3" t="s">
        <v>1</v>
      </c>
      <c r="D2" s="2" t="s">
        <v>2</v>
      </c>
      <c r="E2" s="2" t="s">
        <v>3</v>
      </c>
      <c r="F2" s="55" t="s">
        <v>117</v>
      </c>
      <c r="G2" s="55" t="s">
        <v>118</v>
      </c>
      <c r="H2" s="55" t="s">
        <v>119</v>
      </c>
      <c r="I2" s="55" t="s">
        <v>120</v>
      </c>
      <c r="J2" s="55" t="s">
        <v>119</v>
      </c>
      <c r="K2" s="55" t="s">
        <v>121</v>
      </c>
      <c r="L2" s="55" t="s">
        <v>119</v>
      </c>
      <c r="M2" s="55" t="s">
        <v>123</v>
      </c>
      <c r="N2" s="55" t="s">
        <v>119</v>
      </c>
      <c r="O2" s="55" t="s">
        <v>126</v>
      </c>
      <c r="P2" s="55" t="s">
        <v>119</v>
      </c>
      <c r="Q2" s="55" t="s">
        <v>128</v>
      </c>
      <c r="R2" s="55" t="s">
        <v>119</v>
      </c>
      <c r="S2" s="55" t="s">
        <v>129</v>
      </c>
      <c r="T2" s="55" t="s">
        <v>119</v>
      </c>
      <c r="U2" s="55" t="s">
        <v>132</v>
      </c>
      <c r="V2" s="55" t="s">
        <v>119</v>
      </c>
      <c r="W2" s="55" t="s">
        <v>133</v>
      </c>
      <c r="X2" s="55" t="s">
        <v>119</v>
      </c>
      <c r="Y2" s="55" t="s">
        <v>151</v>
      </c>
      <c r="Z2" s="55" t="s">
        <v>119</v>
      </c>
      <c r="AA2" s="55" t="s">
        <v>134</v>
      </c>
      <c r="AB2" s="55" t="s">
        <v>152</v>
      </c>
      <c r="AG2" s="75">
        <v>43831</v>
      </c>
      <c r="AH2" s="55" t="s">
        <v>119</v>
      </c>
      <c r="AI2" s="75">
        <v>43862</v>
      </c>
      <c r="AJ2" s="55" t="s">
        <v>119</v>
      </c>
      <c r="AK2" s="75">
        <v>43891</v>
      </c>
      <c r="AL2" s="55" t="s">
        <v>119</v>
      </c>
      <c r="AM2" s="75">
        <v>43891</v>
      </c>
      <c r="AN2" s="55" t="s">
        <v>119</v>
      </c>
      <c r="AO2" s="75">
        <v>43922</v>
      </c>
      <c r="AP2" s="55" t="s">
        <v>119</v>
      </c>
      <c r="AQ2" s="75">
        <v>43952</v>
      </c>
      <c r="AR2" s="55" t="s">
        <v>119</v>
      </c>
      <c r="AS2" s="75">
        <v>43983</v>
      </c>
      <c r="AT2" s="55" t="s">
        <v>119</v>
      </c>
      <c r="AU2" s="75">
        <v>44013</v>
      </c>
      <c r="AV2" s="55" t="s">
        <v>119</v>
      </c>
      <c r="AW2" s="75">
        <v>44044</v>
      </c>
      <c r="AX2" s="55" t="s">
        <v>119</v>
      </c>
      <c r="AY2" s="75">
        <v>44075</v>
      </c>
      <c r="AZ2" s="55" t="s">
        <v>119</v>
      </c>
      <c r="BA2" s="75" t="s">
        <v>166</v>
      </c>
      <c r="BB2" s="55" t="s">
        <v>119</v>
      </c>
      <c r="BC2" s="75" t="s">
        <v>167</v>
      </c>
      <c r="BD2" s="75" t="s">
        <v>168</v>
      </c>
      <c r="BE2" s="75" t="s">
        <v>169</v>
      </c>
      <c r="BF2" s="138" t="s">
        <v>228</v>
      </c>
      <c r="BG2" s="138" t="s">
        <v>230</v>
      </c>
      <c r="BH2" s="138">
        <v>44197</v>
      </c>
      <c r="BI2" s="2" t="s">
        <v>119</v>
      </c>
      <c r="BJ2" s="138">
        <v>44228</v>
      </c>
      <c r="BK2" s="2" t="s">
        <v>119</v>
      </c>
      <c r="BL2" s="138">
        <v>44256</v>
      </c>
      <c r="BM2" s="2" t="s">
        <v>119</v>
      </c>
      <c r="BN2" s="138">
        <v>44287</v>
      </c>
      <c r="BO2" s="2" t="s">
        <v>119</v>
      </c>
      <c r="BP2" s="138">
        <v>44317</v>
      </c>
      <c r="BQ2" s="2" t="s">
        <v>119</v>
      </c>
      <c r="BR2" s="138">
        <v>44348</v>
      </c>
      <c r="BS2" s="2" t="s">
        <v>119</v>
      </c>
      <c r="BT2" s="138">
        <v>44378</v>
      </c>
      <c r="BU2" s="2" t="s">
        <v>119</v>
      </c>
      <c r="BV2" s="138">
        <v>44409</v>
      </c>
      <c r="BW2" s="2" t="s">
        <v>119</v>
      </c>
      <c r="BX2" s="138">
        <v>44440</v>
      </c>
      <c r="BY2" s="2" t="s">
        <v>119</v>
      </c>
      <c r="BZ2" s="138">
        <v>44470</v>
      </c>
      <c r="CA2" s="2" t="s">
        <v>119</v>
      </c>
      <c r="CB2" s="138">
        <v>44501</v>
      </c>
      <c r="CC2" s="2" t="s">
        <v>119</v>
      </c>
      <c r="CD2" s="138">
        <v>44531</v>
      </c>
      <c r="CE2" s="2" t="s">
        <v>119</v>
      </c>
      <c r="CF2" s="138" t="s">
        <v>231</v>
      </c>
      <c r="CG2" s="2" t="s">
        <v>119</v>
      </c>
    </row>
    <row r="3" spans="1:85" ht="15.75" hidden="1" x14ac:dyDescent="0.25">
      <c r="A3" s="4"/>
      <c r="B3" s="5">
        <v>1.05</v>
      </c>
      <c r="C3" s="6"/>
      <c r="D3" s="7"/>
      <c r="E3" s="8"/>
      <c r="AB3" s="57"/>
      <c r="BD3"/>
      <c r="BE3"/>
      <c r="BF3"/>
      <c r="BG3"/>
    </row>
    <row r="4" spans="1:85" ht="15.75" hidden="1" x14ac:dyDescent="0.25">
      <c r="A4" s="4"/>
      <c r="B4" s="9">
        <v>1.1635</v>
      </c>
      <c r="C4" s="10"/>
      <c r="D4" s="11"/>
      <c r="E4" s="12"/>
      <c r="AB4" s="19"/>
      <c r="BD4"/>
      <c r="BE4"/>
      <c r="BF4"/>
      <c r="BG4"/>
    </row>
    <row r="5" spans="1:85" ht="15.75" hidden="1" x14ac:dyDescent="0.25">
      <c r="A5" s="13"/>
      <c r="B5" s="14">
        <v>1.04</v>
      </c>
      <c r="C5" s="15"/>
      <c r="D5" s="16"/>
      <c r="E5" s="17"/>
      <c r="AB5" s="57"/>
      <c r="BD5"/>
      <c r="BE5"/>
      <c r="BF5"/>
      <c r="BG5"/>
    </row>
    <row r="6" spans="1:85" ht="15.75" x14ac:dyDescent="0.25">
      <c r="A6" s="18" t="s">
        <v>4</v>
      </c>
      <c r="B6" s="19">
        <v>3945761.6958637498</v>
      </c>
      <c r="C6" s="19">
        <v>2856312.5480000004</v>
      </c>
      <c r="D6" s="19">
        <v>3785280.1639999999</v>
      </c>
      <c r="E6" s="19">
        <v>3955083.7821999998</v>
      </c>
      <c r="F6" s="19">
        <f>E6/12</f>
        <v>329590.3151833333</v>
      </c>
      <c r="G6" s="19">
        <f>G10+G25+G32+G30+G37</f>
        <v>353410.09850000002</v>
      </c>
      <c r="H6" s="56">
        <f>G6/F6</f>
        <v>1.0722708836375154</v>
      </c>
      <c r="I6" s="19">
        <f>I10+I25+I32+I30+I37</f>
        <v>375190.77349999995</v>
      </c>
      <c r="J6" s="56">
        <f>I6/F6</f>
        <v>1.1383549704465727</v>
      </c>
      <c r="K6" s="19">
        <f>K10+K25+K32+K30+K37</f>
        <v>367103.11250000005</v>
      </c>
      <c r="L6" s="56">
        <f>K6/F6</f>
        <v>1.1138164429855908</v>
      </c>
      <c r="M6" s="19">
        <f>M10+M25+M32+M30+M37</f>
        <v>480878.46549999999</v>
      </c>
      <c r="N6" s="56">
        <f>M6/F6</f>
        <v>1.4590187980266145</v>
      </c>
      <c r="O6" s="62">
        <f>O10+O25+O32+O30+O37</f>
        <v>514094.28800000006</v>
      </c>
      <c r="P6" s="56">
        <f>O6/$F6</f>
        <v>1.5597979197721181</v>
      </c>
      <c r="Q6" s="62">
        <f>Q10+Q25+Q32+Q30+Q37</f>
        <v>440848.04199999996</v>
      </c>
      <c r="R6" s="56">
        <f>Q6/$F6</f>
        <v>1.3375637016360145</v>
      </c>
      <c r="S6" s="62">
        <f>S10+S25+S32+S30+S37</f>
        <v>329226.54300000001</v>
      </c>
      <c r="T6" s="56">
        <f>S6/$F6</f>
        <v>0.99889628982838607</v>
      </c>
      <c r="U6" s="62">
        <f>U10+U25+U32+U30+U37</f>
        <v>450010.96800000005</v>
      </c>
      <c r="V6" s="56">
        <f>U6/$F6</f>
        <v>1.3653646580897962</v>
      </c>
      <c r="W6" s="62">
        <f>W10+W25+W32+W30+W37</f>
        <v>449176.94549999997</v>
      </c>
      <c r="X6" s="56">
        <f>W6/$F6</f>
        <v>1.3628341756648616</v>
      </c>
      <c r="Y6" s="19">
        <f>G6+I6+K6+M6+O6+Q6+S6+U6+W6</f>
        <v>3759939.2364999996</v>
      </c>
      <c r="Z6" s="56">
        <f>Y6/$E6</f>
        <v>0.95065982000728899</v>
      </c>
      <c r="AA6" s="19">
        <f>(Y6/9)</f>
        <v>417771.02627777774</v>
      </c>
      <c r="AB6" s="19">
        <f>AB10+AB25+AB32+AB30+AB37</f>
        <v>413892.27006666665</v>
      </c>
      <c r="AC6">
        <v>1.06</v>
      </c>
      <c r="AE6" s="74">
        <f>AB6-AB50</f>
        <v>98604.064566666726</v>
      </c>
      <c r="AF6" s="74">
        <f>AE6*12</f>
        <v>1183248.7748000007</v>
      </c>
      <c r="AG6" s="19">
        <f>AG10+AG25+AG30+AG32+AG37</f>
        <v>547002.16300000006</v>
      </c>
      <c r="AH6" s="56">
        <f t="shared" ref="AH6:AH72" si="0">AG6/$AB6</f>
        <v>1.3216051677212843</v>
      </c>
      <c r="AI6" s="19">
        <f>AI10+AI25+AI30+AI32+AI37</f>
        <v>657281.86349999998</v>
      </c>
      <c r="AJ6" s="56">
        <f t="shared" ref="AJ6" si="1">AI6/$AB6</f>
        <v>1.5880505895752293</v>
      </c>
      <c r="AK6" s="19">
        <f>AK8+AK10+AK25+AK30+AK32+AK37</f>
        <v>0</v>
      </c>
      <c r="AL6" s="56">
        <f t="shared" ref="AL6" si="2">AK6/$AB6</f>
        <v>0</v>
      </c>
      <c r="AM6" s="19">
        <f>AM10+AM25+AM30+AM32+AM37</f>
        <v>361303.29850000003</v>
      </c>
      <c r="AN6" s="56">
        <f t="shared" ref="AN6" si="3">AM6/$AB6</f>
        <v>0.87294043554329737</v>
      </c>
      <c r="AO6" s="19">
        <f>AO10+AO25+AO30+AO32+AO37</f>
        <v>246190.49349999998</v>
      </c>
      <c r="AP6" s="56">
        <f t="shared" ref="AP6" si="4">AO6/$AB6</f>
        <v>0.59481780962071473</v>
      </c>
      <c r="AQ6" s="19">
        <f>AQ10+AQ25+AQ30+AQ32+AQ37</f>
        <v>225547.5405</v>
      </c>
      <c r="AR6" s="56">
        <f t="shared" ref="AR6" si="5">AQ6/$AB6</f>
        <v>0.54494262592454434</v>
      </c>
      <c r="AS6" s="19">
        <f>AS10+AS25+AS30+AS32+AS37</f>
        <v>248080.628</v>
      </c>
      <c r="AT6" s="56">
        <f t="shared" ref="AT6" si="6">AS6/$AB6</f>
        <v>0.59938454023323762</v>
      </c>
      <c r="AU6" s="19">
        <f>AU10+AU25+AU30+AU32+AU37</f>
        <v>236782.22400000002</v>
      </c>
      <c r="AV6" s="56">
        <f t="shared" ref="AV6" si="7">AU6/$AB6</f>
        <v>0.57208660592250471</v>
      </c>
      <c r="AW6" s="19">
        <f>AW10+AW25+AW30+AW32+AW37</f>
        <v>320229.77300000004</v>
      </c>
      <c r="AX6" s="56">
        <f t="shared" ref="AX6" si="8">AW6/$AB6</f>
        <v>0.77370319805300991</v>
      </c>
      <c r="AY6" s="19">
        <f>AY10+AY25+AY30+AY32+AY37</f>
        <v>299453.14216012083</v>
      </c>
      <c r="AZ6" s="56">
        <f t="shared" ref="AZ6" si="9">AY6/$AB6</f>
        <v>0.72350503697951929</v>
      </c>
      <c r="BA6" s="19">
        <f>AG6+AI6+AK6+AM6+AO6+AQ6+AS6+AU6+AW6+AY6</f>
        <v>3141871.1261601211</v>
      </c>
      <c r="BB6" s="56">
        <f>BA6/(AB6*12)</f>
        <v>0.63258633413111176</v>
      </c>
      <c r="BC6" s="19">
        <f>BA6/9</f>
        <v>349096.79179556901</v>
      </c>
      <c r="BD6" s="19">
        <f>BD10+BD25+BD30+BD32+BD37</f>
        <v>459323.33610417781</v>
      </c>
      <c r="BE6" s="19">
        <f>BD6*12</f>
        <v>5511880.0332501335</v>
      </c>
      <c r="BF6" s="132">
        <f>BF8+BF32</f>
        <v>4330298.2159599997</v>
      </c>
      <c r="BG6" s="132">
        <f>BF6/12</f>
        <v>360858.18466333329</v>
      </c>
      <c r="BH6" s="19">
        <f>BH8+BH32</f>
        <v>384203.66399999993</v>
      </c>
      <c r="BI6" s="56">
        <f>BH6/$BG6</f>
        <v>1.0646943323689528</v>
      </c>
      <c r="BJ6" s="19">
        <f>BJ8+BJ32</f>
        <v>351426.19440000004</v>
      </c>
      <c r="BK6" s="56">
        <f>BJ6/$BG6</f>
        <v>0.97386233522143073</v>
      </c>
      <c r="BL6" s="19">
        <f>BL8+BL32</f>
        <v>329544.79540000006</v>
      </c>
      <c r="BM6" s="56">
        <f>BL6/$BG6</f>
        <v>0.91322522089239178</v>
      </c>
      <c r="BN6" s="19">
        <f>BN8+BN32</f>
        <v>297126.79080000002</v>
      </c>
      <c r="BO6" s="56">
        <f>BN6/$BG6</f>
        <v>0.82338936299091514</v>
      </c>
      <c r="BP6" s="19">
        <f>BP8+BP32</f>
        <v>327244.0148</v>
      </c>
      <c r="BQ6" s="56">
        <f>BP6/$BG6</f>
        <v>0.90684936273596228</v>
      </c>
      <c r="BR6" s="19">
        <f>BR8+BR32</f>
        <v>397434.90380000003</v>
      </c>
      <c r="BS6" s="56">
        <f>BR6/$BG6</f>
        <v>1.1013603700600318</v>
      </c>
      <c r="BT6" s="19">
        <f>BT8+BT32</f>
        <v>352440.19699999999</v>
      </c>
      <c r="BU6" s="56">
        <f>BT6/$BG6</f>
        <v>0.97667231056103954</v>
      </c>
      <c r="BV6" s="19">
        <f>BV8+BV32</f>
        <v>374235.61939999997</v>
      </c>
      <c r="BW6" s="56">
        <f>BV6/$BG6</f>
        <v>1.0370711689666878</v>
      </c>
      <c r="BX6" s="19">
        <f>BX8+BX32</f>
        <v>433802.83139999997</v>
      </c>
      <c r="BY6" s="56">
        <f>BX6/$BG6</f>
        <v>1.2021421429161188</v>
      </c>
      <c r="BZ6" s="19">
        <v>415991.17740000004</v>
      </c>
      <c r="CA6" s="56">
        <f>BZ6/$BG6</f>
        <v>1.152782990880763</v>
      </c>
      <c r="CB6" s="19">
        <f>CB8+CB32</f>
        <v>425349.201</v>
      </c>
      <c r="CC6" s="56">
        <f>CB6/$BG6</f>
        <v>1.1787156813329156</v>
      </c>
      <c r="CD6" s="19">
        <f>CD8+CD32</f>
        <v>470209.3126</v>
      </c>
      <c r="CE6" s="56">
        <f>CD6/$BG6</f>
        <v>1.3030307544186286</v>
      </c>
      <c r="CF6" s="19">
        <f>CF8+CF32</f>
        <v>4558442.2620000001</v>
      </c>
      <c r="CG6" s="56">
        <f t="shared" ref="CG6:CG11" si="10">CF6/(BG6*12)</f>
        <v>1.0526855275692422</v>
      </c>
    </row>
    <row r="7" spans="1:85" ht="15.75" x14ac:dyDescent="0.25">
      <c r="A7" s="13"/>
      <c r="B7" s="20"/>
      <c r="C7" s="20"/>
      <c r="D7" s="21"/>
      <c r="E7" s="22"/>
      <c r="F7" s="22"/>
      <c r="G7" s="22"/>
      <c r="H7" s="57"/>
      <c r="I7" s="22"/>
      <c r="J7" s="57"/>
      <c r="K7" s="22"/>
      <c r="L7" s="57"/>
      <c r="M7" s="22"/>
      <c r="N7" s="57"/>
      <c r="O7" s="63"/>
      <c r="P7" s="57"/>
      <c r="Q7" s="63"/>
      <c r="R7" s="57"/>
      <c r="S7" s="63"/>
      <c r="T7" s="57"/>
      <c r="U7" s="63"/>
      <c r="V7" s="57"/>
      <c r="W7" s="63"/>
      <c r="X7" s="57"/>
      <c r="Y7" s="57"/>
      <c r="Z7" s="57"/>
      <c r="AA7" s="57"/>
      <c r="AB7" s="57"/>
      <c r="AC7">
        <v>1.04</v>
      </c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133"/>
      <c r="BG7" s="133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</row>
    <row r="8" spans="1:85" ht="15.75" x14ac:dyDescent="0.25">
      <c r="A8" s="18" t="s">
        <v>5</v>
      </c>
      <c r="B8" s="19">
        <v>3158062.90466375</v>
      </c>
      <c r="C8" s="19">
        <v>2359478.4580000006</v>
      </c>
      <c r="D8" s="19">
        <v>3122834.7106666667</v>
      </c>
      <c r="E8" s="19">
        <v>3276095.0562</v>
      </c>
      <c r="F8" s="19">
        <f>E8/12</f>
        <v>273007.92135000002</v>
      </c>
      <c r="G8" s="19">
        <f>G10+G25+G30+G37</f>
        <v>345401.89850000001</v>
      </c>
      <c r="H8" s="56">
        <f t="shared" ref="H8:H75" si="11">G8/F8</f>
        <v>1.265171709275021</v>
      </c>
      <c r="I8" s="19">
        <f>I10+I25+I30+I37</f>
        <v>353267.66349999997</v>
      </c>
      <c r="J8" s="56">
        <f t="shared" ref="J8:J75" si="12">I8/F8</f>
        <v>1.2939831992900521</v>
      </c>
      <c r="K8" s="19">
        <f>K10+K25+K30+K37</f>
        <v>347713.21250000002</v>
      </c>
      <c r="L8" s="56">
        <f t="shared" ref="L8:L75" si="13">K8/F8</f>
        <v>1.2736378152713992</v>
      </c>
      <c r="M8" s="19">
        <f>M10+M25+M30+M37</f>
        <v>419853.46549999999</v>
      </c>
      <c r="N8" s="56">
        <f t="shared" ref="N8:N75" si="14">M8/F8</f>
        <v>1.5378801590219864</v>
      </c>
      <c r="O8" s="62">
        <f>O10+O25+O30+O37</f>
        <v>453139.28800000006</v>
      </c>
      <c r="P8" s="56">
        <f t="shared" ref="P8:P74" si="15">O8/$F8</f>
        <v>1.6598027110688451</v>
      </c>
      <c r="Q8" s="62">
        <f>Q10+Q25+Q30+Q37</f>
        <v>409138.04199999996</v>
      </c>
      <c r="R8" s="56">
        <f t="shared" ref="R8" si="16">Q8/$F8</f>
        <v>1.4986306623516583</v>
      </c>
      <c r="S8" s="62">
        <f>S10+S25+S30+S37</f>
        <v>316821.54300000001</v>
      </c>
      <c r="T8" s="56">
        <f t="shared" ref="T8" si="17">S8/$F8</f>
        <v>1.1604847999770318</v>
      </c>
      <c r="U8" s="62">
        <f>U10+U25+U30+U37</f>
        <v>400125.96800000005</v>
      </c>
      <c r="V8" s="56">
        <f t="shared" ref="V8" si="18">U8/$F8</f>
        <v>1.4656203601031521</v>
      </c>
      <c r="W8" s="62">
        <f>W10+W25+W30+W37</f>
        <v>427241.94549999997</v>
      </c>
      <c r="X8" s="56">
        <f t="shared" ref="X8" si="19">W8/$F8</f>
        <v>1.564943403060711</v>
      </c>
      <c r="Y8" s="19">
        <f t="shared" ref="Y8:Y74" si="20">G8+I8+K8+M8+O8+Q8+S8+U8+W8</f>
        <v>3472703.0264999997</v>
      </c>
      <c r="Z8" s="56">
        <f t="shared" ref="Z8:Z75" si="21">Y8/$E8</f>
        <v>1.0600129016183213</v>
      </c>
      <c r="AA8" s="19">
        <f>(Y8/9)</f>
        <v>385855.8918333333</v>
      </c>
      <c r="AB8" s="19">
        <f>AB10+AB25+AB30+AB37</f>
        <v>386946.28491111111</v>
      </c>
      <c r="AC8">
        <v>1.03</v>
      </c>
      <c r="AG8" s="19">
        <f>AG10+AG25+AG30+AG37</f>
        <v>496133.92300000001</v>
      </c>
      <c r="AH8" s="56">
        <f t="shared" si="0"/>
        <v>1.282177765614086</v>
      </c>
      <c r="AI8" s="19">
        <f>AI10+AI25+AI30+AI37</f>
        <v>562926.10349999997</v>
      </c>
      <c r="AJ8" s="56">
        <f t="shared" ref="AJ8" si="22">AI8/$AB8</f>
        <v>1.4547913378450312</v>
      </c>
      <c r="AK8" s="19">
        <f>AK10+AK25+AK30+AK37</f>
        <v>0</v>
      </c>
      <c r="AL8" s="56">
        <f t="shared" ref="AL8" si="23">AK8/$AB8</f>
        <v>0</v>
      </c>
      <c r="AM8" s="19">
        <f>AM10+AM25+AM30+AM37</f>
        <v>349243.69850000006</v>
      </c>
      <c r="AN8" s="56">
        <f t="shared" ref="AN8" si="24">AM8/$AB8</f>
        <v>0.90256377207556848</v>
      </c>
      <c r="AO8" s="19">
        <f>AO10+AO25+AO30+AO37</f>
        <v>246190.49349999998</v>
      </c>
      <c r="AP8" s="56">
        <f t="shared" ref="AP8" si="25">AO8/$AB8</f>
        <v>0.63623945519093072</v>
      </c>
      <c r="AQ8" s="19">
        <f>AQ10+AQ25+AQ30+AQ37</f>
        <v>225547.5405</v>
      </c>
      <c r="AR8" s="56">
        <f t="shared" ref="AR8" si="26">AQ8/$AB8</f>
        <v>0.58289108668354972</v>
      </c>
      <c r="AS8" s="19">
        <f>AS10+AS25+AS30+AS37</f>
        <v>248080.628</v>
      </c>
      <c r="AT8" s="56">
        <f t="shared" ref="AT8" si="27">AS8/$AB8</f>
        <v>0.64112420166274198</v>
      </c>
      <c r="AU8" s="19">
        <f>AU10+AU25+AU30+AU37</f>
        <v>236782.22400000002</v>
      </c>
      <c r="AV8" s="56">
        <f t="shared" ref="AV8" si="28">AU8/$AB8</f>
        <v>0.61192530651739785</v>
      </c>
      <c r="AW8" s="19">
        <f>AW10+AW25+AW30+AW37</f>
        <v>312229.77300000004</v>
      </c>
      <c r="AX8" s="56">
        <f t="shared" ref="AX8" si="29">AW8/$AB8</f>
        <v>0.80690727673409535</v>
      </c>
      <c r="AY8" s="19">
        <f>AY10+AY25+AY30+AY37</f>
        <v>287105.14216012083</v>
      </c>
      <c r="AZ8" s="56">
        <f t="shared" ref="AZ8" si="30">AY8/$AB8</f>
        <v>0.7419767377430031</v>
      </c>
      <c r="BA8" s="19">
        <f t="shared" ref="BA8:BA74" si="31">AG8+AI8+AK8+AM8+AO8+AQ8+AS8+AU8+AW8+AY8</f>
        <v>2964239.526160121</v>
      </c>
      <c r="BB8" s="56">
        <f t="shared" ref="BB8:BB74" si="32">BA8/(AB8*12)</f>
        <v>0.63838307833886698</v>
      </c>
      <c r="BC8" s="19">
        <f t="shared" ref="BC8:BC73" si="33">BA8/9</f>
        <v>329359.94735112455</v>
      </c>
      <c r="BD8" s="19">
        <f>BD10+BD25+BD30+BD37</f>
        <v>425338.17820906668</v>
      </c>
      <c r="BE8" s="19">
        <f t="shared" ref="BE8:BE73" si="34">BD8*12</f>
        <v>5104058.1385088004</v>
      </c>
      <c r="BF8" s="132">
        <f>BF10+BF25+BF30+BF37+BF44</f>
        <v>3948547.2159600002</v>
      </c>
      <c r="BG8" s="132">
        <f t="shared" ref="BG8:BG71" si="35">BF8/12</f>
        <v>329045.60133000003</v>
      </c>
      <c r="BH8" s="19">
        <f>BH10+BH25+BH30+BH37+BH44</f>
        <v>285703.43399999995</v>
      </c>
      <c r="BI8" s="56">
        <f t="shared" ref="BI8:BK71" si="36">BH8/$BG8</f>
        <v>0.86827914685742236</v>
      </c>
      <c r="BJ8" s="19">
        <f>BJ10+BJ25+BJ30+BJ37+BJ44</f>
        <v>313705.49440000003</v>
      </c>
      <c r="BK8" s="56">
        <f t="shared" si="36"/>
        <v>0.95337999697307785</v>
      </c>
      <c r="BL8" s="19">
        <f>BL10+BL25+BL30+BL37+BL44</f>
        <v>310225.82540000003</v>
      </c>
      <c r="BM8" s="56">
        <f t="shared" ref="BM8" si="37">BL8/$BG8</f>
        <v>0.94280496121531299</v>
      </c>
      <c r="BN8" s="19">
        <f>BN10+BN25+BN30+BN37+BN44</f>
        <v>291804.56080000004</v>
      </c>
      <c r="BO8" s="56">
        <f t="shared" ref="BO8" si="38">BN8/$BG8</f>
        <v>0.88682103520158917</v>
      </c>
      <c r="BP8" s="19">
        <f>BP10+BP25+BP30+BP37+BP44</f>
        <v>315879.71480000002</v>
      </c>
      <c r="BQ8" s="56">
        <f t="shared" ref="BQ8" si="39">BP8/$BG8</f>
        <v>0.9599876537574622</v>
      </c>
      <c r="BR8" s="19">
        <f>BR10+BR25+BR30+BR37+BR44</f>
        <v>368160.10380000004</v>
      </c>
      <c r="BS8" s="56">
        <f t="shared" ref="BS8" si="40">BR8/$BG8</f>
        <v>1.1188725888202105</v>
      </c>
      <c r="BT8" s="19">
        <f>BT10+BT25+BT30+BT37+BT44</f>
        <v>338947.24699999997</v>
      </c>
      <c r="BU8" s="56">
        <f t="shared" ref="BU8" si="41">BT8/$BG8</f>
        <v>1.0300920165167915</v>
      </c>
      <c r="BV8" s="19">
        <f>BV10+BV25+BV30+BV37+BV44</f>
        <v>365761.98939999996</v>
      </c>
      <c r="BW8" s="56">
        <f t="shared" ref="BW8" si="42">BV8/$BG8</f>
        <v>1.1115844974726681</v>
      </c>
      <c r="BX8" s="19">
        <f>BX10+BX25+BX30+BX37+BX44</f>
        <v>363879.52139999997</v>
      </c>
      <c r="BY8" s="56">
        <f t="shared" ref="BY8" si="43">BX8/$BG8</f>
        <v>1.1058635032019923</v>
      </c>
      <c r="BZ8" s="19">
        <v>374075.86740000005</v>
      </c>
      <c r="CA8" s="56">
        <f t="shared" ref="CA8" si="44">BZ8/$BG8</f>
        <v>1.1368511412642746</v>
      </c>
      <c r="CB8" s="19">
        <f>CB10+CB25+CB30+CB37+CB44</f>
        <v>361177.891</v>
      </c>
      <c r="CC8" s="56">
        <f t="shared" ref="CC8" si="45">CB8/$BG8</f>
        <v>1.0976529986728936</v>
      </c>
      <c r="CD8" s="19">
        <f>CD10+CD25+CD30+CD37+CD44</f>
        <v>396342.0526</v>
      </c>
      <c r="CE8" s="56">
        <f t="shared" ref="CE8" si="46">CD8/$BG8</f>
        <v>1.2045201364126679</v>
      </c>
      <c r="CF8" s="19">
        <f>CF10+CF25+CF30+CF37+CF44</f>
        <v>4085097.2620000001</v>
      </c>
      <c r="CG8" s="56">
        <f t="shared" si="10"/>
        <v>1.0345823510703038</v>
      </c>
    </row>
    <row r="9" spans="1:85" ht="15.75" x14ac:dyDescent="0.25">
      <c r="A9" s="13"/>
      <c r="B9" s="20"/>
      <c r="C9" s="20"/>
      <c r="D9" s="21"/>
      <c r="E9" s="23"/>
      <c r="F9" s="23"/>
      <c r="G9" s="23"/>
      <c r="H9" s="57"/>
      <c r="I9" s="23"/>
      <c r="J9" s="57"/>
      <c r="K9" s="23"/>
      <c r="L9" s="57"/>
      <c r="M9" s="23"/>
      <c r="N9" s="57"/>
      <c r="O9" s="63"/>
      <c r="P9" s="57"/>
      <c r="Q9" s="63"/>
      <c r="R9" s="57"/>
      <c r="S9" s="63"/>
      <c r="T9" s="57"/>
      <c r="U9" s="63"/>
      <c r="V9" s="57"/>
      <c r="W9" s="63"/>
      <c r="X9" s="57"/>
      <c r="Y9" s="57"/>
      <c r="Z9" s="57"/>
      <c r="AA9" s="57"/>
      <c r="AB9" s="57"/>
      <c r="AC9">
        <v>1.1000000000000001</v>
      </c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133"/>
      <c r="BG9" s="133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</row>
    <row r="10" spans="1:85" ht="15.75" x14ac:dyDescent="0.25">
      <c r="A10" s="18" t="s">
        <v>210</v>
      </c>
      <c r="B10" s="19">
        <v>2601720.2772637499</v>
      </c>
      <c r="C10" s="19">
        <v>1872675.0780000002</v>
      </c>
      <c r="D10" s="19">
        <v>2473763.5373333334</v>
      </c>
      <c r="E10" s="19">
        <v>2585099.8881999999</v>
      </c>
      <c r="F10" s="19">
        <f>E10/12</f>
        <v>215424.99068333334</v>
      </c>
      <c r="G10" s="19">
        <f>SUM(G12:G24)</f>
        <v>248811.84850000002</v>
      </c>
      <c r="H10" s="56">
        <f t="shared" si="11"/>
        <v>1.1549813589907223</v>
      </c>
      <c r="I10" s="19">
        <f>SUM(I12:I24)</f>
        <v>220194.14350000001</v>
      </c>
      <c r="J10" s="56">
        <f t="shared" si="12"/>
        <v>1.0221383452381212</v>
      </c>
      <c r="K10" s="19">
        <f>SUM(K12:K24)</f>
        <v>218196.85249999998</v>
      </c>
      <c r="L10" s="56">
        <f t="shared" si="13"/>
        <v>1.0128669464386384</v>
      </c>
      <c r="M10" s="19">
        <f>SUM(M12:M24)</f>
        <v>212784.51549999998</v>
      </c>
      <c r="N10" s="56">
        <f t="shared" si="14"/>
        <v>0.98774294860147049</v>
      </c>
      <c r="O10" s="62">
        <f>SUM(O12:O24)</f>
        <v>216009.30800000002</v>
      </c>
      <c r="P10" s="56">
        <f t="shared" si="15"/>
        <v>1.0027123933709512</v>
      </c>
      <c r="Q10" s="62">
        <f>SUM(Q12:Q24)</f>
        <v>217315.49199999997</v>
      </c>
      <c r="R10" s="56">
        <f t="shared" ref="R10:R35" si="47">Q10/$F10</f>
        <v>1.0087756824808018</v>
      </c>
      <c r="S10" s="62">
        <f>SUM(S12:S24)</f>
        <v>219895.33299999998</v>
      </c>
      <c r="T10" s="56">
        <f t="shared" ref="T10:T35" si="48">S10/$F10</f>
        <v>1.020751270790295</v>
      </c>
      <c r="U10" s="62">
        <f>SUM(U12:U24)</f>
        <v>220217.89800000002</v>
      </c>
      <c r="V10" s="56">
        <f t="shared" ref="V10:V35" si="49">U10/$F10</f>
        <v>1.0222486133176261</v>
      </c>
      <c r="W10" s="62">
        <f>SUM(W12:W24)</f>
        <v>254150.8855</v>
      </c>
      <c r="X10" s="56">
        <f t="shared" ref="X10:X35" si="50">W10/$F10</f>
        <v>1.1797650991829089</v>
      </c>
      <c r="Y10" s="19">
        <f t="shared" si="20"/>
        <v>2027576.2765000004</v>
      </c>
      <c r="Z10" s="56">
        <f t="shared" si="21"/>
        <v>0.78433188820096145</v>
      </c>
      <c r="AA10" s="19">
        <f t="shared" ref="AA10:AA74" si="51">(Y10/9)</f>
        <v>225286.25294444448</v>
      </c>
      <c r="AB10" s="19">
        <f>SUM(AB12:AB24)</f>
        <v>236464.86793333336</v>
      </c>
      <c r="AC10" s="70"/>
      <c r="AD10" s="70"/>
      <c r="AG10" s="19">
        <f>SUM(AG12:AG24)</f>
        <v>275379.79300000001</v>
      </c>
      <c r="AH10" s="56">
        <f t="shared" si="0"/>
        <v>1.1645695845085873</v>
      </c>
      <c r="AI10" s="19">
        <f>SUM(AI12:AI24)</f>
        <v>241208.43349999998</v>
      </c>
      <c r="AJ10" s="56">
        <f t="shared" ref="AJ10" si="52">AI10/$AB10</f>
        <v>1.0200603396526708</v>
      </c>
      <c r="AK10" s="19">
        <f>SUM(AK12:AK24)</f>
        <v>0</v>
      </c>
      <c r="AL10" s="56">
        <f t="shared" ref="AL10:AL43" si="53">AK10/$AB10</f>
        <v>0</v>
      </c>
      <c r="AM10" s="19">
        <f>SUM(AM12:AM24)</f>
        <v>247352.69850000003</v>
      </c>
      <c r="AN10" s="56">
        <f t="shared" ref="AN10:AN43" si="54">AM10/$AB10</f>
        <v>1.0460441784093537</v>
      </c>
      <c r="AO10" s="19">
        <f>SUM(AO12:AO24)</f>
        <v>234137.30349999998</v>
      </c>
      <c r="AP10" s="56">
        <f t="shared" ref="AP10:AP43" si="55">AO10/$AB10</f>
        <v>0.99015682771958502</v>
      </c>
      <c r="AQ10" s="19">
        <f>SUM(AQ12:AQ24)</f>
        <v>211294.18050000002</v>
      </c>
      <c r="AR10" s="56">
        <f t="shared" ref="AR10:AR43" si="56">AQ10/$AB10</f>
        <v>0.89355421947741631</v>
      </c>
      <c r="AS10" s="19">
        <f>SUM(AS12:AS24)</f>
        <v>230287.32800000001</v>
      </c>
      <c r="AT10" s="56">
        <f t="shared" ref="AT10:AT43" si="57">AS10/$AB10</f>
        <v>0.97387544294708939</v>
      </c>
      <c r="AU10" s="19">
        <f>SUM(AU12:AU24)</f>
        <v>225952.174</v>
      </c>
      <c r="AV10" s="56">
        <f t="shared" ref="AV10:AV43" si="58">AU10/$AB10</f>
        <v>0.95554225866526099</v>
      </c>
      <c r="AW10" s="19">
        <f>SUM(AW12:AW24)</f>
        <v>225929.67300000004</v>
      </c>
      <c r="AX10" s="56">
        <f t="shared" ref="AX10:AX43" si="59">AW10/$AB10</f>
        <v>0.95544710288082413</v>
      </c>
      <c r="AY10" s="19">
        <f>SUM(AY12:AY24)</f>
        <v>224459.12899999999</v>
      </c>
      <c r="AZ10" s="56">
        <f t="shared" ref="AZ10:AZ43" si="60">AY10/$AB10</f>
        <v>0.94922823403636369</v>
      </c>
      <c r="BA10" s="19">
        <f t="shared" si="31"/>
        <v>2116000.713</v>
      </c>
      <c r="BB10" s="56">
        <f t="shared" si="32"/>
        <v>0.74570651569142932</v>
      </c>
      <c r="BC10" s="19">
        <f t="shared" si="33"/>
        <v>235111.19033333333</v>
      </c>
      <c r="BD10" s="19">
        <f>SUM(BD12:BD24)</f>
        <v>245123.19502684445</v>
      </c>
      <c r="BE10" s="19">
        <f t="shared" si="34"/>
        <v>2941478.3403221332</v>
      </c>
      <c r="BF10" s="132">
        <f>BF11+BF16</f>
        <v>2994116.4859600002</v>
      </c>
      <c r="BG10" s="132">
        <f t="shared" si="35"/>
        <v>249509.70716333334</v>
      </c>
      <c r="BH10" s="19">
        <f>BH11+BH16</f>
        <v>245541.78399999999</v>
      </c>
      <c r="BI10" s="56">
        <f t="shared" si="36"/>
        <v>0.98409711907226161</v>
      </c>
      <c r="BJ10" s="19">
        <f>BJ11+BJ16</f>
        <v>256874.45439999999</v>
      </c>
      <c r="BK10" s="56">
        <f t="shared" si="36"/>
        <v>1.0295168765992961</v>
      </c>
      <c r="BL10" s="19">
        <f>BL11+BL16</f>
        <v>252787.03539999999</v>
      </c>
      <c r="BM10" s="56">
        <f t="shared" ref="BM10" si="61">BL10/$BG10</f>
        <v>1.0131350730756188</v>
      </c>
      <c r="BN10" s="19">
        <f>BN11+BN16</f>
        <v>251816.76079999999</v>
      </c>
      <c r="BO10" s="56">
        <f t="shared" ref="BO10" si="62">BN10/$BG10</f>
        <v>1.0092463482198566</v>
      </c>
      <c r="BP10" s="19">
        <f>BP11+BP16</f>
        <v>255024.12480000002</v>
      </c>
      <c r="BQ10" s="56">
        <f t="shared" ref="BQ10" si="63">BP10/$BG10</f>
        <v>1.0221010144228853</v>
      </c>
      <c r="BR10" s="19">
        <f>BR11+BR16</f>
        <v>258725.58379999999</v>
      </c>
      <c r="BS10" s="56">
        <f t="shared" ref="BS10" si="64">BR10/$BG10</f>
        <v>1.0369359442622157</v>
      </c>
      <c r="BT10" s="19">
        <f>BT11+BT16</f>
        <v>251423.53699999995</v>
      </c>
      <c r="BU10" s="56">
        <f t="shared" ref="BU10" si="65">BT10/$BG10</f>
        <v>1.0076703622413126</v>
      </c>
      <c r="BV10" s="19">
        <f>BV11+BV16</f>
        <v>255738.26939999996</v>
      </c>
      <c r="BW10" s="56">
        <f t="shared" ref="BW10" si="66">BV10/$BG10</f>
        <v>1.0249632060711342</v>
      </c>
      <c r="BX10" s="19">
        <f>BX11+BX16</f>
        <v>260068.9314</v>
      </c>
      <c r="BY10" s="56">
        <f t="shared" ref="BY10" si="67">BX10/$BG10</f>
        <v>1.0423198935092108</v>
      </c>
      <c r="BZ10" s="19">
        <v>250275.30739999999</v>
      </c>
      <c r="CA10" s="56">
        <f t="shared" ref="CA10" si="68">BZ10/$BG10</f>
        <v>1.0030684186413856</v>
      </c>
      <c r="CB10" s="19">
        <f>CB11+CB16</f>
        <v>253196.141</v>
      </c>
      <c r="CC10" s="56">
        <f t="shared" ref="CC10" si="69">CB10/$BG10</f>
        <v>1.0147747110867051</v>
      </c>
      <c r="CD10" s="19">
        <f>CD11+CD16</f>
        <v>246037.63260000001</v>
      </c>
      <c r="CE10" s="56">
        <f t="shared" ref="CE10" si="70">CD10/$BG10</f>
        <v>0.98608441089203613</v>
      </c>
      <c r="CF10" s="19">
        <f>CF11+CF16</f>
        <v>3037509.5619999999</v>
      </c>
      <c r="CG10" s="56">
        <f t="shared" si="10"/>
        <v>1.0144927815078266</v>
      </c>
    </row>
    <row r="11" spans="1:85" ht="15.75" x14ac:dyDescent="0.25">
      <c r="A11" s="18" t="s">
        <v>6</v>
      </c>
      <c r="B11" s="19"/>
      <c r="C11" s="29"/>
      <c r="D11" s="29"/>
      <c r="E11" s="19"/>
      <c r="F11" s="19"/>
      <c r="G11" s="19"/>
      <c r="H11" s="56"/>
      <c r="I11" s="19"/>
      <c r="J11" s="56"/>
      <c r="K11" s="19"/>
      <c r="L11" s="56"/>
      <c r="M11" s="19"/>
      <c r="N11" s="56"/>
      <c r="O11" s="62"/>
      <c r="P11" s="56"/>
      <c r="Q11" s="62"/>
      <c r="R11" s="56"/>
      <c r="S11" s="62"/>
      <c r="T11" s="56"/>
      <c r="U11" s="62"/>
      <c r="V11" s="56"/>
      <c r="W11" s="62"/>
      <c r="X11" s="56"/>
      <c r="Y11" s="19"/>
      <c r="Z11" s="56"/>
      <c r="AA11" s="19"/>
      <c r="AB11" s="19"/>
      <c r="AC11" s="70"/>
      <c r="AD11" s="70"/>
      <c r="AG11" s="19"/>
      <c r="AH11" s="56"/>
      <c r="AI11" s="19"/>
      <c r="AJ11" s="56"/>
      <c r="AK11" s="19"/>
      <c r="AL11" s="56"/>
      <c r="AM11" s="19"/>
      <c r="AN11" s="56"/>
      <c r="AO11" s="19"/>
      <c r="AP11" s="56"/>
      <c r="AQ11" s="19"/>
      <c r="AR11" s="56"/>
      <c r="AS11" s="19"/>
      <c r="AT11" s="56"/>
      <c r="AU11" s="19"/>
      <c r="AV11" s="56"/>
      <c r="AW11" s="19"/>
      <c r="AX11" s="56"/>
      <c r="AY11" s="19"/>
      <c r="AZ11" s="56"/>
      <c r="BA11" s="19"/>
      <c r="BB11" s="56"/>
      <c r="BC11" s="19"/>
      <c r="BD11" s="19"/>
      <c r="BE11" s="19"/>
      <c r="BF11" s="132">
        <f>SUM(BF12:BF14)+BF15</f>
        <v>2015935.7349600003</v>
      </c>
      <c r="BG11" s="132">
        <f t="shared" si="35"/>
        <v>167994.64458000002</v>
      </c>
      <c r="BH11" s="19">
        <f>SUM(BH12:BH14)+BH15</f>
        <v>172213.264</v>
      </c>
      <c r="BI11" s="56">
        <f t="shared" si="36"/>
        <v>1.0251116303769496</v>
      </c>
      <c r="BJ11" s="19">
        <f>SUM(BJ12:BJ14)+BJ15</f>
        <v>175503.88440000001</v>
      </c>
      <c r="BK11" s="56">
        <f t="shared" si="36"/>
        <v>1.0446992809727578</v>
      </c>
      <c r="BL11" s="19">
        <f>SUM(BL12:BL14)+BL15</f>
        <v>176207.61540000001</v>
      </c>
      <c r="BM11" s="56">
        <f t="shared" ref="BM11" si="71">BL11/$BG11</f>
        <v>1.0488882895078773</v>
      </c>
      <c r="BN11" s="19">
        <f>SUM(BN12:BN14)+BN15</f>
        <v>175995.09080000001</v>
      </c>
      <c r="BO11" s="56">
        <f t="shared" ref="BO11" si="72">BN11/$BG11</f>
        <v>1.047623221799729</v>
      </c>
      <c r="BP11" s="19">
        <f>SUM(BP12:BP14)+BP15</f>
        <v>175310.86480000001</v>
      </c>
      <c r="BQ11" s="56">
        <f t="shared" ref="BQ11" si="73">BP11/$BG11</f>
        <v>1.0435503181562193</v>
      </c>
      <c r="BR11" s="19">
        <f>SUM(BR12:BR14)+BR15</f>
        <v>173744.2138</v>
      </c>
      <c r="BS11" s="56">
        <f t="shared" ref="BS11" si="74">BR11/$BG11</f>
        <v>1.0342247173079497</v>
      </c>
      <c r="BT11" s="19">
        <f>SUM(BT12:BT14)+BT15</f>
        <v>174095.09699999998</v>
      </c>
      <c r="BU11" s="56">
        <f t="shared" ref="BU11" si="75">BT11/$BG11</f>
        <v>1.0363133743653055</v>
      </c>
      <c r="BV11" s="19">
        <f>SUM(BV12:BV14)+BV15</f>
        <v>174165.55939999997</v>
      </c>
      <c r="BW11" s="56">
        <f t="shared" ref="BW11" si="76">BV11/$BG11</f>
        <v>1.0367328067833812</v>
      </c>
      <c r="BX11" s="19">
        <f>SUM(BX12:BX14)+BX15</f>
        <v>172061.6514</v>
      </c>
      <c r="BY11" s="56">
        <f t="shared" ref="BY11" si="77">BX11/$BG11</f>
        <v>1.0242091456556119</v>
      </c>
      <c r="BZ11" s="19">
        <v>173696.6874</v>
      </c>
      <c r="CA11" s="56">
        <f t="shared" ref="CA11" si="78">BZ11/$BG11</f>
        <v>1.0339418130515741</v>
      </c>
      <c r="CB11" s="19">
        <f>SUM(CB12:CB14)+CB15</f>
        <v>171491.391</v>
      </c>
      <c r="CC11" s="56">
        <f t="shared" ref="CC11" si="79">CB11/$BG11</f>
        <v>1.0208146303040917</v>
      </c>
      <c r="CD11" s="19">
        <f>SUM(CD12:CD14)+CD15</f>
        <v>171421.0226</v>
      </c>
      <c r="CE11" s="56">
        <f t="shared" ref="CE11" si="80">CD11/$BG11</f>
        <v>1.0203957574276621</v>
      </c>
      <c r="CF11" s="19">
        <f>SUM(CF12:CF14)+CF15</f>
        <v>2085906.3419999997</v>
      </c>
      <c r="CG11" s="56">
        <f t="shared" si="10"/>
        <v>1.0347087488090922</v>
      </c>
    </row>
    <row r="12" spans="1:85" ht="15.75" x14ac:dyDescent="0.25">
      <c r="A12" s="24" t="s">
        <v>7</v>
      </c>
      <c r="B12" s="25">
        <v>1653825.156225</v>
      </c>
      <c r="C12" s="26">
        <v>1194562.77</v>
      </c>
      <c r="D12" s="26">
        <v>1592750.3599999999</v>
      </c>
      <c r="E12" s="25">
        <v>1672387.878</v>
      </c>
      <c r="F12" s="25">
        <f>E12/12</f>
        <v>139365.65650000001</v>
      </c>
      <c r="G12" s="25">
        <v>148320.37</v>
      </c>
      <c r="H12" s="58">
        <f t="shared" si="11"/>
        <v>1.0642533729247705</v>
      </c>
      <c r="I12" s="25">
        <v>127947.9</v>
      </c>
      <c r="J12" s="58">
        <f t="shared" si="12"/>
        <v>0.91807338488733048</v>
      </c>
      <c r="K12" s="25">
        <v>127658.45</v>
      </c>
      <c r="L12" s="58">
        <f t="shared" si="13"/>
        <v>0.91599647435378018</v>
      </c>
      <c r="M12" s="25">
        <v>127629.51</v>
      </c>
      <c r="N12" s="58">
        <f t="shared" si="14"/>
        <v>0.91578881917726973</v>
      </c>
      <c r="O12" s="64">
        <v>126858.33</v>
      </c>
      <c r="P12" s="58">
        <f t="shared" si="15"/>
        <v>0.91025531817445993</v>
      </c>
      <c r="Q12" s="64">
        <v>127142.87</v>
      </c>
      <c r="R12" s="58">
        <f t="shared" si="47"/>
        <v>0.91229699764661876</v>
      </c>
      <c r="S12" s="64">
        <v>128572.4</v>
      </c>
      <c r="T12" s="58">
        <f t="shared" si="48"/>
        <v>0.92255440277712886</v>
      </c>
      <c r="U12" s="64">
        <v>128941.26</v>
      </c>
      <c r="V12" s="58">
        <f t="shared" si="49"/>
        <v>0.925201109356522</v>
      </c>
      <c r="W12" s="64">
        <v>129906.64</v>
      </c>
      <c r="X12" s="58">
        <f t="shared" si="50"/>
        <v>0.93212806700336526</v>
      </c>
      <c r="Y12" s="25">
        <f t="shared" si="20"/>
        <v>1172977.73</v>
      </c>
      <c r="Z12" s="58">
        <f t="shared" si="21"/>
        <v>0.70137899552510385</v>
      </c>
      <c r="AA12" s="25">
        <f t="shared" si="51"/>
        <v>130330.85888888889</v>
      </c>
      <c r="AB12" s="25">
        <f>AA12*AC7</f>
        <v>135544.09324444446</v>
      </c>
      <c r="AC12" s="69"/>
      <c r="AD12" s="69">
        <f>AB12/AA12</f>
        <v>1.04</v>
      </c>
      <c r="AE12" s="69"/>
      <c r="AF12" s="69"/>
      <c r="AG12" s="25">
        <v>164816.84</v>
      </c>
      <c r="AH12" s="58">
        <f t="shared" si="0"/>
        <v>1.215964754013767</v>
      </c>
      <c r="AI12" s="25">
        <v>140771.25</v>
      </c>
      <c r="AJ12" s="58">
        <f t="shared" ref="AJ12" si="81">AI12/$AB12</f>
        <v>1.0385642533764177</v>
      </c>
      <c r="AK12" s="25"/>
      <c r="AL12" s="58">
        <f t="shared" si="53"/>
        <v>0</v>
      </c>
      <c r="AM12" s="25">
        <v>143687.91</v>
      </c>
      <c r="AN12" s="58">
        <f t="shared" si="54"/>
        <v>1.0600824171723124</v>
      </c>
      <c r="AO12" s="25">
        <v>141002.31</v>
      </c>
      <c r="AP12" s="58">
        <f t="shared" si="55"/>
        <v>1.0402689385048451</v>
      </c>
      <c r="AQ12" s="25">
        <v>118564.35</v>
      </c>
      <c r="AR12" s="58">
        <f t="shared" si="56"/>
        <v>0.87472900634760486</v>
      </c>
      <c r="AS12" s="25">
        <v>138648.57</v>
      </c>
      <c r="AT12" s="58">
        <f t="shared" si="57"/>
        <v>1.0229038144064075</v>
      </c>
      <c r="AU12" s="25">
        <v>136043.32999999999</v>
      </c>
      <c r="AV12" s="58">
        <f t="shared" si="58"/>
        <v>1.0036832055429754</v>
      </c>
      <c r="AW12" s="25">
        <v>135524.13</v>
      </c>
      <c r="AX12" s="58">
        <f t="shared" si="59"/>
        <v>0.99985271771003359</v>
      </c>
      <c r="AY12" s="25">
        <v>134922.07999999999</v>
      </c>
      <c r="AZ12" s="58">
        <f t="shared" si="60"/>
        <v>0.99541098966723163</v>
      </c>
      <c r="BA12" s="25">
        <f t="shared" si="31"/>
        <v>1253980.77</v>
      </c>
      <c r="BB12" s="58">
        <f t="shared" si="32"/>
        <v>0.77095500806179962</v>
      </c>
      <c r="BC12" s="25">
        <f t="shared" si="33"/>
        <v>139331.19666666666</v>
      </c>
      <c r="BD12" s="25">
        <f>AB12*BA1</f>
        <v>140965.85697422223</v>
      </c>
      <c r="BE12" s="25">
        <f t="shared" si="34"/>
        <v>1691590.2836906668</v>
      </c>
      <c r="BF12" s="128">
        <f>(Mensalidades!D16)*BC1</f>
        <v>1748443.7880000004</v>
      </c>
      <c r="BG12" s="128">
        <f t="shared" si="35"/>
        <v>145703.64900000003</v>
      </c>
      <c r="BH12" s="71">
        <v>178713.88</v>
      </c>
      <c r="BI12" s="140">
        <f t="shared" si="36"/>
        <v>1.2265573389997937</v>
      </c>
      <c r="BJ12" s="71">
        <v>182588.85</v>
      </c>
      <c r="BK12" s="58">
        <f t="shared" si="36"/>
        <v>1.253152211719831</v>
      </c>
      <c r="BL12" s="25">
        <v>182963.19</v>
      </c>
      <c r="BM12" s="58">
        <f t="shared" ref="BM12" si="82">BL12/$BG12</f>
        <v>1.2557213992629654</v>
      </c>
      <c r="BN12" s="25">
        <v>182737.1</v>
      </c>
      <c r="BO12" s="58">
        <f t="shared" ref="BO12" si="83">BN12/$BG12</f>
        <v>1.2541696879533879</v>
      </c>
      <c r="BP12" s="25">
        <v>182009.2</v>
      </c>
      <c r="BQ12" s="58">
        <f t="shared" ref="BQ12" si="84">BP12/$BG12</f>
        <v>1.24917393112097</v>
      </c>
      <c r="BR12" s="25">
        <v>179968.24</v>
      </c>
      <c r="BS12" s="58">
        <f t="shared" ref="BS12" si="85">BR12/$BG12</f>
        <v>1.2351663203712897</v>
      </c>
      <c r="BT12" s="25">
        <v>180715.83</v>
      </c>
      <c r="BU12" s="58">
        <f t="shared" ref="BU12" si="86">BT12/$BG12</f>
        <v>1.2402972145193147</v>
      </c>
      <c r="BV12" s="25">
        <v>179293.55</v>
      </c>
      <c r="BW12" s="58">
        <f t="shared" ref="BW12" si="87">BV12/$BG12</f>
        <v>1.2305357568635769</v>
      </c>
      <c r="BX12" s="25">
        <v>177047.62</v>
      </c>
      <c r="BY12" s="58">
        <f t="shared" ref="BY12" si="88">BX12/$BG12</f>
        <v>1.215121386561842</v>
      </c>
      <c r="BZ12" s="71">
        <v>178794.75</v>
      </c>
      <c r="CA12" s="58">
        <f t="shared" ref="CA12" si="89">BZ12/$BG12</f>
        <v>1.2271123697114816</v>
      </c>
      <c r="CB12" s="25">
        <v>177197.31</v>
      </c>
      <c r="CC12" s="58">
        <f t="shared" ref="CC12" si="90">CB12/$BG12</f>
        <v>1.2161487458697755</v>
      </c>
      <c r="CD12" s="25">
        <v>177871.07</v>
      </c>
      <c r="CE12" s="58">
        <f t="shared" ref="CE12" si="91">CD12/$BG12</f>
        <v>1.2207729265586202</v>
      </c>
      <c r="CF12" s="25">
        <f>BH12+BJ12+BL12+BN12+BP12+BR12+BT12+BV12+BX12+BZ12+CB12+CD12</f>
        <v>2159900.59</v>
      </c>
      <c r="CG12" s="58">
        <f>CF12/(BG12*12)</f>
        <v>1.2353274407927373</v>
      </c>
    </row>
    <row r="13" spans="1:85" ht="15.75" x14ac:dyDescent="0.25">
      <c r="A13" s="24" t="s">
        <v>8</v>
      </c>
      <c r="B13" s="25">
        <v>102925.05959999999</v>
      </c>
      <c r="C13" s="26">
        <v>65193.59</v>
      </c>
      <c r="D13" s="26">
        <v>86924.786666666667</v>
      </c>
      <c r="E13" s="25">
        <v>83000</v>
      </c>
      <c r="F13" s="25">
        <f t="shared" ref="F13:F22" si="92">E13/12</f>
        <v>6916.666666666667</v>
      </c>
      <c r="G13" s="25">
        <v>7236</v>
      </c>
      <c r="H13" s="58">
        <f t="shared" si="11"/>
        <v>1.046168674698795</v>
      </c>
      <c r="I13" s="25">
        <v>6657.12</v>
      </c>
      <c r="J13" s="58">
        <f t="shared" si="12"/>
        <v>0.96247518072289151</v>
      </c>
      <c r="K13" s="25">
        <v>6657.12</v>
      </c>
      <c r="L13" s="58">
        <f t="shared" si="13"/>
        <v>0.96247518072289151</v>
      </c>
      <c r="M13" s="25">
        <v>6367.68</v>
      </c>
      <c r="N13" s="58">
        <f t="shared" si="14"/>
        <v>0.92062843373493974</v>
      </c>
      <c r="O13" s="64">
        <v>6367.68</v>
      </c>
      <c r="P13" s="58">
        <f t="shared" si="15"/>
        <v>0.92062843373493974</v>
      </c>
      <c r="Q13" s="64">
        <v>6657.12</v>
      </c>
      <c r="R13" s="58">
        <f t="shared" si="47"/>
        <v>0.96247518072289151</v>
      </c>
      <c r="S13" s="64">
        <v>6567.68</v>
      </c>
      <c r="T13" s="58">
        <f t="shared" si="48"/>
        <v>0.94954409638554216</v>
      </c>
      <c r="U13" s="64">
        <v>6657.12</v>
      </c>
      <c r="V13" s="58">
        <f t="shared" si="49"/>
        <v>0.96247518072289151</v>
      </c>
      <c r="W13" s="64">
        <v>6552.65</v>
      </c>
      <c r="X13" s="58">
        <f t="shared" si="50"/>
        <v>0.94737108433734929</v>
      </c>
      <c r="Y13" s="25">
        <f t="shared" si="20"/>
        <v>59720.170000000006</v>
      </c>
      <c r="Z13" s="58">
        <f t="shared" si="21"/>
        <v>0.71952012048192782</v>
      </c>
      <c r="AA13" s="25">
        <f t="shared" si="51"/>
        <v>6635.5744444444454</v>
      </c>
      <c r="AB13" s="25">
        <f>AA13*AC7</f>
        <v>6900.9974222222236</v>
      </c>
      <c r="AD13" s="69">
        <f t="shared" ref="AD13:AD78" si="93">AB13/AA13</f>
        <v>1.04</v>
      </c>
      <c r="AG13" s="25">
        <v>6622.44</v>
      </c>
      <c r="AH13" s="58">
        <f t="shared" si="0"/>
        <v>0.95963519399018637</v>
      </c>
      <c r="AI13" s="25">
        <v>4818.32</v>
      </c>
      <c r="AJ13" s="58">
        <f t="shared" ref="AJ13" si="94">AI13/$AB13</f>
        <v>0.69820631789896093</v>
      </c>
      <c r="AK13" s="25"/>
      <c r="AL13" s="58">
        <f t="shared" si="53"/>
        <v>0</v>
      </c>
      <c r="AM13" s="25">
        <v>4816.32</v>
      </c>
      <c r="AN13" s="58">
        <f t="shared" si="54"/>
        <v>0.69791650472013556</v>
      </c>
      <c r="AO13" s="25">
        <v>4515.3</v>
      </c>
      <c r="AP13" s="58">
        <f t="shared" si="55"/>
        <v>0.6542967231751271</v>
      </c>
      <c r="AQ13" s="25">
        <v>3838.05</v>
      </c>
      <c r="AR13" s="58">
        <f t="shared" si="56"/>
        <v>0.55615873549538164</v>
      </c>
      <c r="AS13" s="25">
        <v>4515.3</v>
      </c>
      <c r="AT13" s="58">
        <f t="shared" si="57"/>
        <v>0.6542967231751271</v>
      </c>
      <c r="AU13" s="25">
        <v>4214.28</v>
      </c>
      <c r="AV13" s="58">
        <f t="shared" si="58"/>
        <v>0.61067694163011865</v>
      </c>
      <c r="AW13" s="25">
        <v>4816.32</v>
      </c>
      <c r="AX13" s="58">
        <f t="shared" si="59"/>
        <v>0.69791650472013556</v>
      </c>
      <c r="AY13" s="25">
        <v>4816.32</v>
      </c>
      <c r="AZ13" s="58">
        <f t="shared" si="60"/>
        <v>0.69791650472013556</v>
      </c>
      <c r="BA13" s="25">
        <f t="shared" si="31"/>
        <v>42972.649999999994</v>
      </c>
      <c r="BB13" s="58">
        <f t="shared" si="32"/>
        <v>0.5189183457937756</v>
      </c>
      <c r="BC13" s="25">
        <f t="shared" si="33"/>
        <v>4774.7388888888881</v>
      </c>
      <c r="BD13" s="25">
        <v>6261.2</v>
      </c>
      <c r="BE13" s="25">
        <f t="shared" si="34"/>
        <v>75134.399999999994</v>
      </c>
      <c r="BF13" s="128">
        <f>(Mensalidades!D19)*BC1</f>
        <v>60693.696000000004</v>
      </c>
      <c r="BG13" s="128">
        <f t="shared" si="35"/>
        <v>5057.808</v>
      </c>
      <c r="BH13" s="71">
        <v>4491.72</v>
      </c>
      <c r="BI13" s="140">
        <f t="shared" si="36"/>
        <v>0.88807641571210305</v>
      </c>
      <c r="BJ13" s="71">
        <v>4117.41</v>
      </c>
      <c r="BK13" s="58">
        <f t="shared" si="36"/>
        <v>0.81407004773609437</v>
      </c>
      <c r="BL13" s="25">
        <v>4491.72</v>
      </c>
      <c r="BM13" s="58">
        <f t="shared" ref="BM13" si="95">BL13/$BG13</f>
        <v>0.88807641571210305</v>
      </c>
      <c r="BN13" s="25">
        <v>4491.72</v>
      </c>
      <c r="BO13" s="58">
        <f t="shared" ref="BO13" si="96">BN13/$BG13</f>
        <v>0.88807641571210305</v>
      </c>
      <c r="BP13" s="25">
        <v>4491.72</v>
      </c>
      <c r="BQ13" s="58">
        <f t="shared" ref="BQ13" si="97">BP13/$BG13</f>
        <v>0.88807641571210305</v>
      </c>
      <c r="BR13" s="25">
        <v>4866.03</v>
      </c>
      <c r="BS13" s="58">
        <f t="shared" ref="BS13" si="98">BR13/$BG13</f>
        <v>0.96208278368811151</v>
      </c>
      <c r="BT13" s="25">
        <v>4491.72</v>
      </c>
      <c r="BU13" s="58">
        <f t="shared" ref="BU13" si="99">BT13/$BG13</f>
        <v>0.88807641571210305</v>
      </c>
      <c r="BV13" s="25">
        <v>5988.96</v>
      </c>
      <c r="BW13" s="58">
        <f t="shared" ref="BW13" si="100">BV13/$BG13</f>
        <v>1.1841018876161373</v>
      </c>
      <c r="BX13" s="25">
        <v>5996.69</v>
      </c>
      <c r="BY13" s="58">
        <f t="shared" ref="BY13" si="101">BX13/$BG13</f>
        <v>1.1856302176753248</v>
      </c>
      <c r="BZ13" s="71">
        <v>5988.96</v>
      </c>
      <c r="CA13" s="58">
        <f t="shared" ref="CA13" si="102">BZ13/$BG13</f>
        <v>1.1841018876161373</v>
      </c>
      <c r="CB13" s="25">
        <v>5240.34</v>
      </c>
      <c r="CC13" s="58">
        <f t="shared" ref="CC13" si="103">CB13/$BG13</f>
        <v>1.0360891516641202</v>
      </c>
      <c r="CD13" s="25">
        <v>4491.72</v>
      </c>
      <c r="CE13" s="58">
        <f t="shared" ref="CE13" si="104">CD13/$BG13</f>
        <v>0.88807641571210305</v>
      </c>
      <c r="CF13" s="25">
        <f t="shared" ref="CF13:CF15" si="105">BH13+BJ13+BL13+BN13+BP13+BR13+BT13+BV13+BX13+BZ13+CB13+CD13</f>
        <v>59148.710000000006</v>
      </c>
      <c r="CG13" s="58">
        <f t="shared" ref="CG13:CG76" si="106">CF13/(BG13*12)</f>
        <v>0.97454453918904538</v>
      </c>
    </row>
    <row r="14" spans="1:85" ht="15.75" x14ac:dyDescent="0.25">
      <c r="A14" s="27" t="s">
        <v>27</v>
      </c>
      <c r="B14" s="25">
        <v>321601.21619999997</v>
      </c>
      <c r="C14" s="26">
        <v>232702.52</v>
      </c>
      <c r="D14" s="26">
        <v>310270.02666666661</v>
      </c>
      <c r="E14" s="25">
        <v>325783.52799999993</v>
      </c>
      <c r="F14" s="25">
        <f>E14/12</f>
        <v>27148.627333333327</v>
      </c>
      <c r="G14" s="25">
        <f>28987.69</f>
        <v>28987.69</v>
      </c>
      <c r="H14" s="58">
        <f>G14/F14</f>
        <v>1.0677405396628894</v>
      </c>
      <c r="I14" s="25">
        <v>25233.599999999999</v>
      </c>
      <c r="J14" s="58">
        <f>I14/F14</f>
        <v>0.92946135692900977</v>
      </c>
      <c r="K14" s="25">
        <v>25180.28</v>
      </c>
      <c r="L14" s="58">
        <f>K14/F14</f>
        <v>0.9274973533959644</v>
      </c>
      <c r="M14" s="25">
        <v>25121.62</v>
      </c>
      <c r="N14" s="58">
        <f>M14/F14</f>
        <v>0.92533665483541594</v>
      </c>
      <c r="O14" s="64">
        <v>24979.43</v>
      </c>
      <c r="P14" s="58">
        <f>O14/$F14</f>
        <v>0.92009918929971213</v>
      </c>
      <c r="Q14" s="64">
        <v>25149.87</v>
      </c>
      <c r="R14" s="58">
        <f>Q14/$F14</f>
        <v>0.92637722309889181</v>
      </c>
      <c r="S14" s="64">
        <v>25174.95</v>
      </c>
      <c r="T14" s="58">
        <f>S14/$F14</f>
        <v>0.92730102671120951</v>
      </c>
      <c r="U14" s="64">
        <v>25199.78</v>
      </c>
      <c r="V14" s="58">
        <f>U14/$F14</f>
        <v>0.92821562175482386</v>
      </c>
      <c r="W14" s="64">
        <v>25494.9</v>
      </c>
      <c r="X14" s="58">
        <f>W14/$F14</f>
        <v>0.93908615293772646</v>
      </c>
      <c r="Y14" s="25">
        <f>G14+I14+K14+M14+O14+Q14+S14+U14+W14</f>
        <v>230522.12</v>
      </c>
      <c r="Z14" s="58">
        <f>Y14/$E14</f>
        <v>0.7075929265521369</v>
      </c>
      <c r="AA14" s="25">
        <f>(Y14/9)</f>
        <v>25613.568888888887</v>
      </c>
      <c r="AB14" s="71">
        <f>AA14*AC7</f>
        <v>26638.111644444445</v>
      </c>
      <c r="AD14" s="69">
        <f>AB14/AA14</f>
        <v>1.04</v>
      </c>
      <c r="AE14" t="s">
        <v>140</v>
      </c>
      <c r="AG14" s="25">
        <v>31823.57</v>
      </c>
      <c r="AH14" s="58">
        <f>AG14/$AB14</f>
        <v>1.194663136215101</v>
      </c>
      <c r="AI14" s="25">
        <v>27057.71</v>
      </c>
      <c r="AJ14" s="58">
        <f>AI14/$AB14</f>
        <v>1.0157518055767689</v>
      </c>
      <c r="AK14" s="25"/>
      <c r="AL14" s="58">
        <f>AK14/$AB14</f>
        <v>0</v>
      </c>
      <c r="AM14" s="25">
        <v>27608.06</v>
      </c>
      <c r="AN14" s="58">
        <f>AM14/$AB14</f>
        <v>1.0364120538460857</v>
      </c>
      <c r="AO14" s="25">
        <v>26972.07</v>
      </c>
      <c r="AP14" s="58">
        <f>AO14/$AB14</f>
        <v>1.0125368629733633</v>
      </c>
      <c r="AQ14" s="25">
        <v>26720.82</v>
      </c>
      <c r="AR14" s="58">
        <f>AQ14/$AB14</f>
        <v>1.0031048880888973</v>
      </c>
      <c r="AS14" s="25">
        <v>26453.47</v>
      </c>
      <c r="AT14" s="58">
        <f>AS14/$AB14</f>
        <v>0.99306851600785473</v>
      </c>
      <c r="AU14" s="25">
        <v>26111.05</v>
      </c>
      <c r="AV14" s="58">
        <f>AU14/$AB14</f>
        <v>0.98021400122202851</v>
      </c>
      <c r="AW14" s="25">
        <v>26108.83</v>
      </c>
      <c r="AX14" s="58">
        <f>AW14/$AB14</f>
        <v>0.98013066198125842</v>
      </c>
      <c r="AY14" s="25">
        <v>25997.47</v>
      </c>
      <c r="AZ14" s="58">
        <f>AY14/$AB14</f>
        <v>0.97595018547127177</v>
      </c>
      <c r="BA14" s="25">
        <f>AG14+AI14+AK14+AM14+AO14+AQ14+AS14+AU14+AW14+AY14</f>
        <v>244853.05000000002</v>
      </c>
      <c r="BB14" s="58">
        <f>BA14/(AB14*12)</f>
        <v>0.76598600928188587</v>
      </c>
      <c r="BC14" s="25">
        <f>BA14/9</f>
        <v>27205.894444444446</v>
      </c>
      <c r="BD14" s="25">
        <f>AB14*BA1</f>
        <v>27703.636110222225</v>
      </c>
      <c r="BE14" s="25">
        <f>BD14*12</f>
        <v>332443.63332266669</v>
      </c>
      <c r="BF14" s="128">
        <f>(Mensalidades!G20)*BC1</f>
        <v>335475</v>
      </c>
      <c r="BG14" s="128">
        <f t="shared" si="35"/>
        <v>27956.25</v>
      </c>
      <c r="BH14" s="71"/>
      <c r="BI14" s="140">
        <v>0</v>
      </c>
      <c r="BJ14" s="71">
        <v>0</v>
      </c>
      <c r="BK14" s="58">
        <f t="shared" si="36"/>
        <v>0</v>
      </c>
      <c r="BL14" s="25">
        <v>0</v>
      </c>
      <c r="BM14" s="58">
        <f t="shared" ref="BM14" si="107">BL14/$BG14</f>
        <v>0</v>
      </c>
      <c r="BN14" s="25"/>
      <c r="BO14" s="58">
        <f t="shared" ref="BO14" si="108">BN14/$BG14</f>
        <v>0</v>
      </c>
      <c r="BP14" s="25"/>
      <c r="BQ14" s="58">
        <f t="shared" ref="BQ14" si="109">BP14/$BG14</f>
        <v>0</v>
      </c>
      <c r="BR14" s="25"/>
      <c r="BS14" s="58">
        <f t="shared" ref="BS14" si="110">BR14/$BG14</f>
        <v>0</v>
      </c>
      <c r="BT14" s="25">
        <v>0</v>
      </c>
      <c r="BU14" s="58">
        <f t="shared" ref="BU14" si="111">BT14/$BG14</f>
        <v>0</v>
      </c>
      <c r="BV14" s="25">
        <v>0</v>
      </c>
      <c r="BW14" s="58">
        <f t="shared" ref="BW14" si="112">BV14/$BG14</f>
        <v>0</v>
      </c>
      <c r="BX14" s="25">
        <v>0</v>
      </c>
      <c r="BY14" s="58">
        <f t="shared" ref="BY14" si="113">BX14/$BG14</f>
        <v>0</v>
      </c>
      <c r="BZ14" s="71">
        <v>0</v>
      </c>
      <c r="CA14" s="58">
        <f t="shared" ref="CA14" si="114">BZ14/$BG14</f>
        <v>0</v>
      </c>
      <c r="CB14" s="25">
        <v>0</v>
      </c>
      <c r="CC14" s="58">
        <f t="shared" ref="CC14" si="115">CB14/$BG14</f>
        <v>0</v>
      </c>
      <c r="CD14" s="25">
        <v>0</v>
      </c>
      <c r="CE14" s="58">
        <f t="shared" ref="CE14" si="116">CD14/$BG14</f>
        <v>0</v>
      </c>
      <c r="CF14" s="25">
        <f t="shared" si="105"/>
        <v>0</v>
      </c>
      <c r="CG14" s="58">
        <f t="shared" si="106"/>
        <v>0</v>
      </c>
    </row>
    <row r="15" spans="1:85" s="98" customFormat="1" x14ac:dyDescent="0.25">
      <c r="A15" s="92" t="s">
        <v>16</v>
      </c>
      <c r="B15" s="93">
        <v>-126310.19996125002</v>
      </c>
      <c r="C15" s="93">
        <v>-92650.521999999997</v>
      </c>
      <c r="D15" s="94">
        <v>-123534.02933333334</v>
      </c>
      <c r="E15" s="93">
        <v>-129710.7308</v>
      </c>
      <c r="F15" s="93">
        <f>E15/12</f>
        <v>-10809.227566666666</v>
      </c>
      <c r="G15" s="93">
        <f>-(G12+G13+G17+G18+G19+G31)*0.05</f>
        <v>-11302.5715</v>
      </c>
      <c r="H15" s="95">
        <f>G15/F15</f>
        <v>1.0456409979612882</v>
      </c>
      <c r="I15" s="93">
        <f>-(I12+I13+I17+I18+I19+I31)*0.05</f>
        <v>-10078.7865</v>
      </c>
      <c r="J15" s="95">
        <f>I15/F15</f>
        <v>0.93242430486714989</v>
      </c>
      <c r="K15" s="93">
        <f>-(K12+K13+K17+K18+K19+K31)*0.05</f>
        <v>-10043.227500000001</v>
      </c>
      <c r="L15" s="95">
        <f>K15/F15</f>
        <v>0.92913461559188137</v>
      </c>
      <c r="M15" s="93">
        <f>-(M12+M13+M17+M18+M19+M31)*0.05</f>
        <v>-9947.4045000000006</v>
      </c>
      <c r="N15" s="95">
        <f>M15/F15</f>
        <v>0.9202696898227638</v>
      </c>
      <c r="O15" s="96">
        <f>-(O12+O13+O17+O18+O19+O31)*0.05</f>
        <v>-9828.6420000000016</v>
      </c>
      <c r="P15" s="95">
        <f>O15/$F15</f>
        <v>0.90928254950514875</v>
      </c>
      <c r="Q15" s="96">
        <f>-(Q12+Q13+Q17+Q18+Q19+Q31)*0.05</f>
        <v>-9832.9879999999994</v>
      </c>
      <c r="R15" s="95">
        <f>Q15/$F15</f>
        <v>0.90968461338743756</v>
      </c>
      <c r="S15" s="96">
        <f>-(S12+S13+S17+S18+S19+S31)*0.05</f>
        <v>-9914.1970000000001</v>
      </c>
      <c r="T15" s="95">
        <f>S15/$F15</f>
        <v>0.91719754615706783</v>
      </c>
      <c r="U15" s="96">
        <f>-(U12+U13+U17+U18+U19+U31)*0.05</f>
        <v>-10423.082</v>
      </c>
      <c r="V15" s="95">
        <f>U15/$F15</f>
        <v>0.96427630334498127</v>
      </c>
      <c r="W15" s="96">
        <f>-(W12+W13+W17+W18+W19+W31)*0.05</f>
        <v>-10614.744500000001</v>
      </c>
      <c r="X15" s="95">
        <f>W15/$F15</f>
        <v>0.98200768135676875</v>
      </c>
      <c r="Y15" s="93">
        <f>G15+I15+K15+M15+O15+Q15+S15+U15+W15</f>
        <v>-91985.643500000006</v>
      </c>
      <c r="Z15" s="95">
        <f>Y15/$E15</f>
        <v>0.70915985849954055</v>
      </c>
      <c r="AA15" s="93">
        <f>(Y15/9)</f>
        <v>-10220.627055555557</v>
      </c>
      <c r="AB15" s="97">
        <f>-(AB12+AB13+AB17+AB18+AB19+AB31)*0.05</f>
        <v>-10645.011266666668</v>
      </c>
      <c r="AD15" s="99"/>
      <c r="AG15" s="93">
        <f>-(AG12+AG13+AG17+AG18+AG19+AG31)*0.05</f>
        <v>-12967.137000000001</v>
      </c>
      <c r="AH15" s="95">
        <f>AG15/$AB15</f>
        <v>1.2181421583464864</v>
      </c>
      <c r="AI15" s="93">
        <f>-(AI12+AI13+AI17+AI18+AI19+AI31)*0.05</f>
        <v>-11265.646500000001</v>
      </c>
      <c r="AJ15" s="95">
        <f>AI15/$AB15</f>
        <v>1.0583029193474658</v>
      </c>
      <c r="AK15" s="93">
        <f>(AK12+AK13+AK17+AK18+AK19+AK31)*0.05</f>
        <v>0</v>
      </c>
      <c r="AL15" s="95">
        <f>AK15/$AB15</f>
        <v>0</v>
      </c>
      <c r="AM15" s="93">
        <f>-(AM12+AM13+AM17+AM18+AM19+AM31)*0.05</f>
        <v>-11458.271500000001</v>
      </c>
      <c r="AN15" s="95">
        <f>AM15/$AB15</f>
        <v>1.0763982501249145</v>
      </c>
      <c r="AO15" s="93">
        <f>-(AO12+AO13+AO17+AO18+AO19+AO31)*0.05</f>
        <v>-11085.3665</v>
      </c>
      <c r="AP15" s="95">
        <f>AO15/$AB15</f>
        <v>1.0413672867319776</v>
      </c>
      <c r="AQ15" s="93">
        <f>-(AQ12+AQ13+AQ17+AQ18+AQ19+AQ31)*0.05</f>
        <v>-9869.7095000000008</v>
      </c>
      <c r="AR15" s="95">
        <f>AQ15/$AB15</f>
        <v>0.92716759548255112</v>
      </c>
      <c r="AS15" s="93">
        <f>-(AS12+AS13+AS17+AS18+AS19+AS31)*0.05</f>
        <v>-10941.702000000001</v>
      </c>
      <c r="AT15" s="95">
        <f>AS15/$AB15</f>
        <v>1.0278713404712287</v>
      </c>
      <c r="AU15" s="93">
        <f>-(AU12+AU13+AU17+AU18+AU19+AU31)*0.05</f>
        <v>-10671.446000000002</v>
      </c>
      <c r="AV15" s="95">
        <f>AU15/$AB15</f>
        <v>1.0024832978257252</v>
      </c>
      <c r="AW15" s="93">
        <f>-(AW12+AW13+AW17+AW18+AW19+AW31)*0.05</f>
        <v>-10880.897000000003</v>
      </c>
      <c r="AX15" s="95">
        <f>AW15/$AB15</f>
        <v>1.0221592751218571</v>
      </c>
      <c r="AY15" s="93">
        <f>-(AY12+AY13+AY17+AY18+AY19+AY31)*0.05</f>
        <v>-10589.401</v>
      </c>
      <c r="AZ15" s="95">
        <f>AY15/$AB15</f>
        <v>0.99477593162904354</v>
      </c>
      <c r="BA15" s="93">
        <f>AG15+AI15+AK15+AM15+AO15+AQ15+AS15+AU15+AW15+AY15</f>
        <v>-99729.57699999999</v>
      </c>
      <c r="BB15" s="95">
        <f>BA15/(AB15*12)</f>
        <v>0.78072233792343737</v>
      </c>
      <c r="BC15" s="93">
        <f>BA15/9</f>
        <v>-11081.064111111111</v>
      </c>
      <c r="BD15" s="93">
        <f>-(BD12+BD13+BD17+BD18+BD19+BD31)*0.05</f>
        <v>-11028.692368711112</v>
      </c>
      <c r="BE15" s="93">
        <f>BD15*12</f>
        <v>-132344.30842453334</v>
      </c>
      <c r="BF15" s="131">
        <f>-(SUM(BF12:BF14))*0.06</f>
        <v>-128676.74904000001</v>
      </c>
      <c r="BG15" s="131">
        <f t="shared" si="35"/>
        <v>-10723.06242</v>
      </c>
      <c r="BH15" s="97">
        <f>-(SUM(BH12:BH14))*0.06</f>
        <v>-10992.335999999999</v>
      </c>
      <c r="BI15" s="141">
        <f t="shared" si="36"/>
        <v>1.0251116303769496</v>
      </c>
      <c r="BJ15" s="97">
        <f>-(SUM(BJ12:BJ14))*0.06</f>
        <v>-11202.375599999999</v>
      </c>
      <c r="BK15" s="95">
        <f t="shared" si="36"/>
        <v>1.0446992809727578</v>
      </c>
      <c r="BL15" s="93">
        <f>-(SUM(BL12:BL14))*0.06</f>
        <v>-11247.294599999999</v>
      </c>
      <c r="BM15" s="95">
        <f t="shared" ref="BM15" si="117">BL15/$BG15</f>
        <v>1.0488882895078773</v>
      </c>
      <c r="BN15" s="93">
        <f>-(SUM(BN12:BN14))*0.06</f>
        <v>-11233.7292</v>
      </c>
      <c r="BO15" s="95">
        <f t="shared" ref="BO15" si="118">BN15/$BG15</f>
        <v>1.047623221799729</v>
      </c>
      <c r="BP15" s="93">
        <f>-(SUM(BP12:BP14))*0.06</f>
        <v>-11190.055200000001</v>
      </c>
      <c r="BQ15" s="95">
        <f t="shared" ref="BQ15" si="119">BP15/$BG15</f>
        <v>1.0435503181562193</v>
      </c>
      <c r="BR15" s="93">
        <f>-(SUM(BR12:BR14))*0.06</f>
        <v>-11090.056199999999</v>
      </c>
      <c r="BS15" s="95">
        <f t="shared" ref="BS15" si="120">BR15/$BG15</f>
        <v>1.0342247173079497</v>
      </c>
      <c r="BT15" s="93">
        <f>-(SUM(BT12:BT14))*0.06</f>
        <v>-11112.453</v>
      </c>
      <c r="BU15" s="95">
        <f t="shared" ref="BU15" si="121">BT15/$BG15</f>
        <v>1.0363133743653055</v>
      </c>
      <c r="BV15" s="93">
        <f>-(SUM(BV12:BV14))*0.06</f>
        <v>-11116.950599999998</v>
      </c>
      <c r="BW15" s="95">
        <f t="shared" ref="BW15" si="122">BV15/$BG15</f>
        <v>1.0367328067833814</v>
      </c>
      <c r="BX15" s="93">
        <f>-(SUM(BX12:BX14))*0.06</f>
        <v>-10982.658599999999</v>
      </c>
      <c r="BY15" s="95">
        <f t="shared" ref="BY15" si="123">BX15/$BG15</f>
        <v>1.0242091456556119</v>
      </c>
      <c r="BZ15" s="93">
        <v>-11087.022599999998</v>
      </c>
      <c r="CA15" s="95">
        <f t="shared" ref="CA15" si="124">BZ15/$BG15</f>
        <v>1.0339418130515741</v>
      </c>
      <c r="CB15" s="93">
        <f>-(SUM(CB12:CB14))*0.06</f>
        <v>-10946.259</v>
      </c>
      <c r="CC15" s="95">
        <f t="shared" ref="CC15" si="125">CB15/$BG15</f>
        <v>1.0208146303040917</v>
      </c>
      <c r="CD15" s="93">
        <f>-(SUM(CD12:CD14))*0.06</f>
        <v>-10941.767400000001</v>
      </c>
      <c r="CE15" s="95">
        <f t="shared" ref="CE15" si="126">CD15/$BG15</f>
        <v>1.0203957574276623</v>
      </c>
      <c r="CF15" s="93">
        <f t="shared" si="105"/>
        <v>-133142.95799999998</v>
      </c>
      <c r="CG15" s="95">
        <f t="shared" si="106"/>
        <v>1.0347087488090925</v>
      </c>
    </row>
    <row r="16" spans="1:85" ht="15.75" customHeight="1" x14ac:dyDescent="0.25">
      <c r="A16" s="18" t="s">
        <v>214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32">
        <f>SUM(BF17:BF24)</f>
        <v>978180.75100000005</v>
      </c>
      <c r="BG16" s="132">
        <f t="shared" si="35"/>
        <v>81515.062583333332</v>
      </c>
      <c r="BH16" s="19">
        <f>SUM(BH17:BH24)</f>
        <v>73328.52</v>
      </c>
      <c r="BI16" s="18">
        <f t="shared" si="36"/>
        <v>0.89957018587866289</v>
      </c>
      <c r="BJ16" s="19">
        <f>SUM(BJ17:BJ24)</f>
        <v>81370.569999999992</v>
      </c>
      <c r="BK16" s="18">
        <f t="shared" si="36"/>
        <v>0.99822741247133773</v>
      </c>
      <c r="BL16" s="19">
        <f>SUM(BL17:BL24)</f>
        <v>76579.419999999984</v>
      </c>
      <c r="BM16" s="18">
        <f t="shared" ref="BM16" si="127">BL16/$BG16</f>
        <v>0.93945115875624075</v>
      </c>
      <c r="BN16" s="19">
        <f>SUM(BN17:BN24)</f>
        <v>75821.67</v>
      </c>
      <c r="BO16" s="18">
        <f t="shared" ref="BO16" si="128">BN16/$BG16</f>
        <v>0.93015533077076462</v>
      </c>
      <c r="BP16" s="19">
        <f>SUM(BP17:BP24)</f>
        <v>79713.260000000009</v>
      </c>
      <c r="BQ16" s="18">
        <f t="shared" ref="BQ16" si="129">BP16/$BG16</f>
        <v>0.97789607802249645</v>
      </c>
      <c r="BR16" s="19">
        <f>SUM(BR17:BR24)</f>
        <v>84981.37</v>
      </c>
      <c r="BS16" s="18">
        <f t="shared" ref="BS16" si="130">BR16/$BG16</f>
        <v>1.0425235202772867</v>
      </c>
      <c r="BT16" s="19">
        <f>SUM(BT17:BT24)</f>
        <v>77328.439999999988</v>
      </c>
      <c r="BU16" s="18">
        <f t="shared" ref="BU16" si="131">BT16/$BG16</f>
        <v>0.948639889970601</v>
      </c>
      <c r="BV16" s="19">
        <f>SUM(BV17:BV24)</f>
        <v>81572.709999999992</v>
      </c>
      <c r="BW16" s="18">
        <f t="shared" ref="BW16" si="132">BV16/$BG16</f>
        <v>1.0007071995633656</v>
      </c>
      <c r="BX16" s="19">
        <f>SUM(BX17:BX24)</f>
        <v>88007.279999999984</v>
      </c>
      <c r="BY16" s="18">
        <f t="shared" ref="BY16" si="133">BX16/$BG16</f>
        <v>1.0796443897718857</v>
      </c>
      <c r="BZ16" s="19">
        <v>76578.62</v>
      </c>
      <c r="CA16" s="18">
        <f t="shared" ref="CA16" si="134">BZ16/$BG16</f>
        <v>0.93944134461913975</v>
      </c>
      <c r="CB16" s="19">
        <f>SUM(CB17:CB24)</f>
        <v>81704.75</v>
      </c>
      <c r="CC16" s="18">
        <f t="shared" ref="CC16" si="135">CB16/$BG16</f>
        <v>1.0023270228919072</v>
      </c>
      <c r="CD16" s="19">
        <f>SUM(CD17:CD24)</f>
        <v>74616.61</v>
      </c>
      <c r="CE16" s="18">
        <f t="shared" ref="CE16" si="136">CD16/$BG16</f>
        <v>0.91537205070190553</v>
      </c>
      <c r="CF16" s="19">
        <f>SUM(CF17:CF24)</f>
        <v>951603.22</v>
      </c>
      <c r="CG16" s="56">
        <f t="shared" si="106"/>
        <v>0.9728296319746329</v>
      </c>
    </row>
    <row r="17" spans="1:85" ht="15.75" x14ac:dyDescent="0.25">
      <c r="A17" s="27" t="s">
        <v>9</v>
      </c>
      <c r="B17" s="25">
        <v>696989.0003999999</v>
      </c>
      <c r="C17" s="26">
        <v>540340.93999999994</v>
      </c>
      <c r="D17" s="26">
        <v>720454.58666666655</v>
      </c>
      <c r="E17" s="25">
        <v>756477.31599999988</v>
      </c>
      <c r="F17" s="25">
        <f>E17/12</f>
        <v>63039.776333333321</v>
      </c>
      <c r="G17" s="25">
        <v>63717.72</v>
      </c>
      <c r="H17" s="58">
        <f>G17/F17</f>
        <v>1.0107542206857134</v>
      </c>
      <c r="I17" s="25">
        <v>60990.64</v>
      </c>
      <c r="J17" s="58">
        <f>I17/F17</f>
        <v>0.96749454943338997</v>
      </c>
      <c r="K17" s="25">
        <v>60608.23</v>
      </c>
      <c r="L17" s="58">
        <f>K17/F17</f>
        <v>0.96142837943338966</v>
      </c>
      <c r="M17" s="25">
        <v>58365.99</v>
      </c>
      <c r="N17" s="58">
        <f>M17/F17</f>
        <v>0.92585972531660177</v>
      </c>
      <c r="O17" s="64">
        <v>57179.39</v>
      </c>
      <c r="P17" s="58">
        <f>O17/$F17</f>
        <v>0.90703668898909873</v>
      </c>
      <c r="Q17" s="64">
        <v>57514.97</v>
      </c>
      <c r="R17" s="58">
        <f>Q17/$F17</f>
        <v>0.91235999467828077</v>
      </c>
      <c r="S17" s="64">
        <v>57949.48</v>
      </c>
      <c r="T17" s="58">
        <f>S17/$F17</f>
        <v>0.91925262700144228</v>
      </c>
      <c r="U17" s="64">
        <v>67610.67</v>
      </c>
      <c r="V17" s="58">
        <f>U17/$F17</f>
        <v>1.0725080882663243</v>
      </c>
      <c r="W17" s="64">
        <v>70823.41</v>
      </c>
      <c r="X17" s="58">
        <f>W17/$F17</f>
        <v>1.1234717843145481</v>
      </c>
      <c r="Y17" s="25">
        <f>G17+I17+K17+M17+O17+Q17+S17+U17+W17</f>
        <v>554760.49999999988</v>
      </c>
      <c r="Z17" s="58">
        <f>Y17/$E17</f>
        <v>0.73334717150989892</v>
      </c>
      <c r="AA17" s="25">
        <f>(Y17/9)</f>
        <v>61640.05555555554</v>
      </c>
      <c r="AB17" s="25">
        <v>66600</v>
      </c>
      <c r="AD17" s="69">
        <f>AB17/AA17</f>
        <v>1.0804662552578999</v>
      </c>
      <c r="AE17" s="69" t="s">
        <v>135</v>
      </c>
      <c r="AG17" s="25">
        <v>82025.87</v>
      </c>
      <c r="AH17" s="58">
        <f>AG17/$AB17</f>
        <v>1.2316196696696695</v>
      </c>
      <c r="AI17" s="25">
        <v>71343.94</v>
      </c>
      <c r="AJ17" s="58">
        <f>AI17/$AB17</f>
        <v>1.0712303303303303</v>
      </c>
      <c r="AK17" s="25"/>
      <c r="AL17" s="58">
        <f>AK17/$AB17</f>
        <v>0</v>
      </c>
      <c r="AM17" s="25">
        <v>75862.52</v>
      </c>
      <c r="AN17" s="58">
        <f>AM17/$AB17</f>
        <v>1.1390768768768769</v>
      </c>
      <c r="AO17" s="25">
        <v>70164.87</v>
      </c>
      <c r="AP17" s="58">
        <f>AO17/$AB17</f>
        <v>1.0535265765765764</v>
      </c>
      <c r="AQ17" s="25">
        <v>70060.67</v>
      </c>
      <c r="AR17" s="58">
        <f>AQ17/$AB17</f>
        <v>1.0519620120120119</v>
      </c>
      <c r="AS17" s="25">
        <v>69685.929999999993</v>
      </c>
      <c r="AT17" s="58">
        <f>AS17/$AB17</f>
        <v>1.0463352852852852</v>
      </c>
      <c r="AU17" s="25">
        <v>67936.2</v>
      </c>
      <c r="AV17" s="58">
        <f>AU17/$AB17</f>
        <v>1.0200630630630629</v>
      </c>
      <c r="AW17" s="25">
        <v>67924.81</v>
      </c>
      <c r="AX17" s="58">
        <f>AW17/$AB17</f>
        <v>1.0198920420420421</v>
      </c>
      <c r="AY17" s="25">
        <v>66069.899999999994</v>
      </c>
      <c r="AZ17" s="58">
        <f>AY17/$AB17</f>
        <v>0.99204054054054047</v>
      </c>
      <c r="BA17" s="25">
        <f>AG17+AI17+AK17+AM17+AO17+AQ17+AS17+AU17+AW17+AY17</f>
        <v>641074.71000000008</v>
      </c>
      <c r="BB17" s="58">
        <f>BA17/(AB17*12)</f>
        <v>0.80214553303303315</v>
      </c>
      <c r="BC17" s="25">
        <f>BA17/9</f>
        <v>71230.523333333345</v>
      </c>
      <c r="BD17" s="25">
        <f>AB17*BA1</f>
        <v>69264</v>
      </c>
      <c r="BE17" s="25">
        <f>BD17*12</f>
        <v>831168</v>
      </c>
      <c r="BF17" s="128">
        <f>(68000*12)*BC1</f>
        <v>856800</v>
      </c>
      <c r="BG17" s="128">
        <f t="shared" si="35"/>
        <v>71400</v>
      </c>
      <c r="BH17" s="71">
        <v>69595.42</v>
      </c>
      <c r="BI17" s="140">
        <f t="shared" si="36"/>
        <v>0.97472577030812324</v>
      </c>
      <c r="BJ17" s="71">
        <v>71846.100000000006</v>
      </c>
      <c r="BK17" s="58">
        <f t="shared" si="36"/>
        <v>1.0062478991596639</v>
      </c>
      <c r="BL17" s="25">
        <v>70107.179999999993</v>
      </c>
      <c r="BM17" s="58">
        <f t="shared" ref="BM17" si="137">BL17/$BG17</f>
        <v>0.98189327731092424</v>
      </c>
      <c r="BN17" s="25">
        <v>71429.45</v>
      </c>
      <c r="BO17" s="58">
        <f t="shared" ref="BO17" si="138">BN17/$BG17</f>
        <v>1.0004124649859945</v>
      </c>
      <c r="BP17" s="25">
        <v>72847.64</v>
      </c>
      <c r="BQ17" s="58">
        <f t="shared" ref="BQ17" si="139">BP17/$BG17</f>
        <v>1.0202750700280112</v>
      </c>
      <c r="BR17" s="25">
        <v>72359.98</v>
      </c>
      <c r="BS17" s="58">
        <f t="shared" ref="BS17" si="140">BR17/$BG17</f>
        <v>1.0134450980392156</v>
      </c>
      <c r="BT17" s="25">
        <v>72459.33</v>
      </c>
      <c r="BU17" s="58">
        <f t="shared" ref="BU17" si="141">BT17/$BG17</f>
        <v>1.0148365546218487</v>
      </c>
      <c r="BV17" s="25">
        <v>71474.48</v>
      </c>
      <c r="BW17" s="58">
        <f t="shared" ref="BW17" si="142">BV17/$BG17</f>
        <v>1.0010431372549018</v>
      </c>
      <c r="BX17" s="25">
        <v>70063.58</v>
      </c>
      <c r="BY17" s="58">
        <f t="shared" ref="BY17" si="143">BX17/$BG17</f>
        <v>0.98128263305322128</v>
      </c>
      <c r="BZ17" s="71">
        <v>70813.929999999993</v>
      </c>
      <c r="CA17" s="58">
        <f t="shared" ref="CA17" si="144">BZ17/$BG17</f>
        <v>0.99179173669467779</v>
      </c>
      <c r="CB17" s="25">
        <v>70842.490000000005</v>
      </c>
      <c r="CC17" s="58">
        <f t="shared" ref="CC17" si="145">CB17/$BG17</f>
        <v>0.99219173669467797</v>
      </c>
      <c r="CD17" s="25">
        <v>70744.11</v>
      </c>
      <c r="CE17" s="58">
        <f t="shared" ref="CE17" si="146">CD17/$BG17</f>
        <v>0.99081386554621853</v>
      </c>
      <c r="CF17" s="25">
        <f t="shared" ref="CF17:CF24" si="147">BH17+BJ17+BL17+BN17+BP17+BR17+BT17+BV17+BX17+BZ17+CB17+CD17</f>
        <v>854583.69000000006</v>
      </c>
      <c r="CG17" s="58">
        <f t="shared" si="106"/>
        <v>0.99741327030812332</v>
      </c>
    </row>
    <row r="18" spans="1:85" ht="15.75" x14ac:dyDescent="0.25">
      <c r="A18" s="24" t="s">
        <v>10</v>
      </c>
      <c r="B18" s="25">
        <v>10318.2255</v>
      </c>
      <c r="C18" s="26">
        <v>7050.02</v>
      </c>
      <c r="D18" s="26">
        <v>9400.0266666666685</v>
      </c>
      <c r="E18" s="25">
        <v>9870.0280000000021</v>
      </c>
      <c r="F18" s="25">
        <f>E18/12</f>
        <v>822.50233333333347</v>
      </c>
      <c r="G18" s="25">
        <v>817</v>
      </c>
      <c r="H18" s="58">
        <f>G18/F18</f>
        <v>0.99331025200739032</v>
      </c>
      <c r="I18" s="25">
        <v>834.56</v>
      </c>
      <c r="J18" s="58">
        <f>I18/F18</f>
        <v>1.0146597355144278</v>
      </c>
      <c r="K18" s="25">
        <v>834.56</v>
      </c>
      <c r="L18" s="58">
        <f>K18/F18</f>
        <v>1.0146597355144278</v>
      </c>
      <c r="M18" s="25">
        <v>834.56</v>
      </c>
      <c r="N18" s="58">
        <f>M18/F18</f>
        <v>1.0146597355144278</v>
      </c>
      <c r="O18" s="64">
        <v>834.56</v>
      </c>
      <c r="P18" s="58">
        <f>O18/$F18</f>
        <v>1.0146597355144278</v>
      </c>
      <c r="Q18" s="64">
        <v>834.56</v>
      </c>
      <c r="R18" s="58">
        <f>Q18/$F18</f>
        <v>1.0146597355144278</v>
      </c>
      <c r="S18" s="64">
        <v>834.56</v>
      </c>
      <c r="T18" s="58">
        <f>S18/$F18</f>
        <v>1.0146597355144278</v>
      </c>
      <c r="U18" s="64">
        <v>782.4</v>
      </c>
      <c r="V18" s="58">
        <f>U18/$F18</f>
        <v>0.95124350204477615</v>
      </c>
      <c r="W18" s="64">
        <v>834.56</v>
      </c>
      <c r="X18" s="58">
        <f>W18/$F18</f>
        <v>1.0146597355144278</v>
      </c>
      <c r="Y18" s="25">
        <f>G18+I18+K18+M18+O18+Q18+S18+U18+W18</f>
        <v>7441.3199999999979</v>
      </c>
      <c r="Z18" s="58">
        <f>Y18/$E18</f>
        <v>0.75393099188776325</v>
      </c>
      <c r="AA18" s="25">
        <f>(Y18/9)</f>
        <v>826.81333333333305</v>
      </c>
      <c r="AB18" s="25">
        <f>AA18*$AC$7</f>
        <v>859.8858666666664</v>
      </c>
      <c r="AD18" s="69">
        <f>AB18/AA18</f>
        <v>1.04</v>
      </c>
      <c r="AE18" s="69"/>
      <c r="AG18" s="25">
        <v>1083.77</v>
      </c>
      <c r="AH18" s="58">
        <f>AG18/$AB18</f>
        <v>1.2603649414557967</v>
      </c>
      <c r="AI18" s="25">
        <v>1111.93</v>
      </c>
      <c r="AJ18" s="58">
        <f>AI18/$AB18</f>
        <v>1.2931134736641023</v>
      </c>
      <c r="AK18" s="25"/>
      <c r="AL18" s="58">
        <f>AK18/$AB18</f>
        <v>0</v>
      </c>
      <c r="AM18" s="25">
        <v>2169.6</v>
      </c>
      <c r="AN18" s="58">
        <f>AM18/$AB18</f>
        <v>2.5231255496853544</v>
      </c>
      <c r="AO18" s="25">
        <v>1057.68</v>
      </c>
      <c r="AP18" s="58">
        <f>AO18/$AB18</f>
        <v>1.2300237054716103</v>
      </c>
      <c r="AQ18" s="25">
        <v>1030.56</v>
      </c>
      <c r="AR18" s="58">
        <f>AQ18/$AB18</f>
        <v>1.1984846361005432</v>
      </c>
      <c r="AS18" s="25">
        <v>976.32</v>
      </c>
      <c r="AT18" s="58">
        <f>AS18/$AB18</f>
        <v>1.1354064973584095</v>
      </c>
      <c r="AU18" s="25">
        <v>976.32</v>
      </c>
      <c r="AV18" s="58">
        <f>AU18/$AB18</f>
        <v>1.1354064973584095</v>
      </c>
      <c r="AW18" s="25">
        <v>976.32</v>
      </c>
      <c r="AX18" s="58">
        <f>AW18/$AB18</f>
        <v>1.1354064973584095</v>
      </c>
      <c r="AY18" s="25">
        <v>976.32</v>
      </c>
      <c r="AZ18" s="58">
        <f>AY18/$AB18</f>
        <v>1.1354064973584095</v>
      </c>
      <c r="BA18" s="25">
        <f>AG18+AI18+AK18+AM18+AO18+AQ18+AS18+AU18+AW18+AY18</f>
        <v>10358.819999999998</v>
      </c>
      <c r="BB18" s="58">
        <f>BA18/(AB18*12)</f>
        <v>1.0038948579842535</v>
      </c>
      <c r="BC18" s="25">
        <f>BA18/9</f>
        <v>1150.9799999999998</v>
      </c>
      <c r="BD18" s="25">
        <f>AY18*BA1</f>
        <v>1015.3728000000001</v>
      </c>
      <c r="BE18" s="25">
        <f>BD18*12</f>
        <v>12184.473600000001</v>
      </c>
      <c r="BF18" s="128">
        <f>10358.82*BC1</f>
        <v>10876.761</v>
      </c>
      <c r="BG18" s="128">
        <f t="shared" si="35"/>
        <v>906.39675</v>
      </c>
      <c r="BH18" s="71">
        <v>1196.1600000000001</v>
      </c>
      <c r="BI18" s="140">
        <f t="shared" si="36"/>
        <v>1.3196869913754656</v>
      </c>
      <c r="BJ18" s="71">
        <v>1167.68</v>
      </c>
      <c r="BK18" s="58">
        <f t="shared" si="36"/>
        <v>1.2882658725331926</v>
      </c>
      <c r="BL18" s="25">
        <v>1139.2</v>
      </c>
      <c r="BM18" s="58">
        <f t="shared" ref="BM18" si="148">BL18/$BG18</f>
        <v>1.2568447536909195</v>
      </c>
      <c r="BN18" s="25">
        <v>1196.1600000000001</v>
      </c>
      <c r="BO18" s="58">
        <f t="shared" ref="BO18" si="149">BN18/$BG18</f>
        <v>1.3196869913754656</v>
      </c>
      <c r="BP18" s="25">
        <v>1196.1600000000001</v>
      </c>
      <c r="BQ18" s="58">
        <f t="shared" ref="BQ18" si="150">BP18/$BG18</f>
        <v>1.3196869913754656</v>
      </c>
      <c r="BR18" s="25">
        <v>1196.1600000000001</v>
      </c>
      <c r="BS18" s="58">
        <f t="shared" ref="BS18" si="151">BR18/$BG18</f>
        <v>1.3196869913754656</v>
      </c>
      <c r="BT18" s="25">
        <v>1167.68</v>
      </c>
      <c r="BU18" s="58">
        <f t="shared" ref="BU18" si="152">BT18/$BG18</f>
        <v>1.2882658725331926</v>
      </c>
      <c r="BV18" s="25">
        <v>1132.0999999999999</v>
      </c>
      <c r="BW18" s="58">
        <f t="shared" ref="BW18" si="153">BV18/$BG18</f>
        <v>1.2490115393727967</v>
      </c>
      <c r="BX18" s="25">
        <v>1167.68</v>
      </c>
      <c r="BY18" s="58">
        <f t="shared" ref="BY18" si="154">BX18/$BG18</f>
        <v>1.2882658725331926</v>
      </c>
      <c r="BZ18" s="71">
        <v>1196.1600000000001</v>
      </c>
      <c r="CA18" s="58">
        <f t="shared" ref="CA18" si="155">BZ18/$BG18</f>
        <v>1.3196869913754656</v>
      </c>
      <c r="CB18" s="25">
        <v>1196.1600000000001</v>
      </c>
      <c r="CC18" s="58">
        <f t="shared" ref="CC18" si="156">CB18/$BG18</f>
        <v>1.3196869913754656</v>
      </c>
      <c r="CD18" s="25">
        <v>1196.1600000000001</v>
      </c>
      <c r="CE18" s="58">
        <f t="shared" ref="CE18" si="157">CD18/$BG18</f>
        <v>1.3196869913754656</v>
      </c>
      <c r="CF18" s="25">
        <f t="shared" si="147"/>
        <v>14147.46</v>
      </c>
      <c r="CG18" s="58">
        <f t="shared" si="106"/>
        <v>1.300705237524296</v>
      </c>
    </row>
    <row r="19" spans="1:85" ht="15.75" x14ac:dyDescent="0.25">
      <c r="A19" s="24" t="s">
        <v>11</v>
      </c>
      <c r="B19" s="25">
        <v>12146.557499999999</v>
      </c>
      <c r="C19" s="26">
        <v>8429.4</v>
      </c>
      <c r="D19" s="26">
        <v>11239.199999999999</v>
      </c>
      <c r="E19" s="25">
        <v>11801.16</v>
      </c>
      <c r="F19" s="25">
        <f>E19/12</f>
        <v>983.43</v>
      </c>
      <c r="G19" s="25">
        <v>912.87</v>
      </c>
      <c r="H19" s="58">
        <f>G19/F19</f>
        <v>0.9282511210762332</v>
      </c>
      <c r="I19" s="25">
        <v>912.87</v>
      </c>
      <c r="J19" s="58">
        <f>I19/F19</f>
        <v>0.9282511210762332</v>
      </c>
      <c r="K19" s="25">
        <v>952.56</v>
      </c>
      <c r="L19" s="58">
        <f>K19/F19</f>
        <v>0.96860986547085204</v>
      </c>
      <c r="M19" s="25">
        <v>952.56</v>
      </c>
      <c r="N19" s="58">
        <f>M19/F19</f>
        <v>0.96860986547085204</v>
      </c>
      <c r="O19" s="64">
        <v>952.56</v>
      </c>
      <c r="P19" s="58">
        <f>O19/$F19</f>
        <v>0.96860986547085204</v>
      </c>
      <c r="Q19" s="64">
        <v>952.56</v>
      </c>
      <c r="R19" s="58">
        <f>Q19/$F19</f>
        <v>0.96860986547085204</v>
      </c>
      <c r="S19" s="64">
        <v>952.56</v>
      </c>
      <c r="T19" s="58">
        <f>S19/$F19</f>
        <v>0.96860986547085204</v>
      </c>
      <c r="U19" s="64">
        <v>992.25</v>
      </c>
      <c r="V19" s="58">
        <f>U19/$F19</f>
        <v>1.0089686098654709</v>
      </c>
      <c r="W19" s="64">
        <v>1031.94</v>
      </c>
      <c r="X19" s="58">
        <f>W19/$F19</f>
        <v>1.0493273542600898</v>
      </c>
      <c r="Y19" s="25">
        <f>G19+I19+K19+M19+O19+Q19+S19+U19+W19</f>
        <v>8612.73</v>
      </c>
      <c r="Z19" s="58">
        <f>Y19/$E19</f>
        <v>0.72982062780269052</v>
      </c>
      <c r="AA19" s="25">
        <f>(Y19/9)</f>
        <v>956.96999999999991</v>
      </c>
      <c r="AB19" s="25">
        <f>AA19*$AC$7</f>
        <v>995.24879999999996</v>
      </c>
      <c r="AD19" s="69">
        <f>AB19/AA19</f>
        <v>1.04</v>
      </c>
      <c r="AG19" s="25">
        <v>949.44</v>
      </c>
      <c r="AH19" s="58">
        <f>AG19/$AB19</f>
        <v>0.95397251420951235</v>
      </c>
      <c r="AI19" s="25">
        <v>949.44</v>
      </c>
      <c r="AJ19" s="58">
        <f>AI19/$AB19</f>
        <v>0.95397251420951235</v>
      </c>
      <c r="AK19" s="25"/>
      <c r="AL19" s="58">
        <f>AK19/$AB19</f>
        <v>0</v>
      </c>
      <c r="AM19" s="25">
        <v>1114.56</v>
      </c>
      <c r="AN19" s="58">
        <f>AM19/$AB19</f>
        <v>1.119880777550297</v>
      </c>
      <c r="AO19" s="25">
        <v>949.44</v>
      </c>
      <c r="AP19" s="58">
        <f>AO19/$AB19</f>
        <v>0.95397251420951235</v>
      </c>
      <c r="AQ19" s="25">
        <v>949.44</v>
      </c>
      <c r="AR19" s="58">
        <f>AQ19/$AB19</f>
        <v>0.95397251420951235</v>
      </c>
      <c r="AS19" s="25">
        <v>949.44</v>
      </c>
      <c r="AT19" s="58">
        <f>AS19/$AB19</f>
        <v>0.95397251420951235</v>
      </c>
      <c r="AU19" s="25">
        <v>949.44</v>
      </c>
      <c r="AV19" s="58">
        <f>AU19/$AB19</f>
        <v>0.95397251420951235</v>
      </c>
      <c r="AW19" s="25">
        <v>908.16</v>
      </c>
      <c r="AX19" s="58">
        <f>AW19/$AB19</f>
        <v>0.91249544837431606</v>
      </c>
      <c r="AY19" s="25">
        <v>949.44</v>
      </c>
      <c r="AZ19" s="58">
        <f>AY19/$AB19</f>
        <v>0.95397251420951235</v>
      </c>
      <c r="BA19" s="25">
        <f>AG19+AI19+AK19+AM19+AO19+AQ19+AS19+AU19+AW19+AY19</f>
        <v>8668.8000000000011</v>
      </c>
      <c r="BB19" s="58">
        <f>BA19/(AB19*12)</f>
        <v>0.7258486521159333</v>
      </c>
      <c r="BC19" s="25">
        <f>BA19/9</f>
        <v>963.20000000000016</v>
      </c>
      <c r="BD19" s="25">
        <f>AY19*BA1</f>
        <v>987.41760000000011</v>
      </c>
      <c r="BE19" s="25">
        <f>BD19*12</f>
        <v>11849.011200000001</v>
      </c>
      <c r="BF19" s="128">
        <f>8668.8*BC1</f>
        <v>9102.24</v>
      </c>
      <c r="BG19" s="128">
        <f t="shared" si="35"/>
        <v>758.52</v>
      </c>
      <c r="BH19" s="71">
        <v>910.14</v>
      </c>
      <c r="BI19" s="140">
        <f t="shared" si="36"/>
        <v>1.199889258028793</v>
      </c>
      <c r="BJ19" s="71">
        <v>910.14</v>
      </c>
      <c r="BK19" s="58">
        <f t="shared" si="36"/>
        <v>1.199889258028793</v>
      </c>
      <c r="BL19" s="25">
        <v>953.48</v>
      </c>
      <c r="BM19" s="58">
        <f t="shared" ref="BM19" si="158">BL19/$BG19</f>
        <v>1.2570268417444497</v>
      </c>
      <c r="BN19" s="25">
        <v>1038.58</v>
      </c>
      <c r="BO19" s="58">
        <f t="shared" ref="BO19" si="159">BN19/$BG19</f>
        <v>1.36921900543163</v>
      </c>
      <c r="BP19" s="25">
        <v>1038.58</v>
      </c>
      <c r="BQ19" s="58">
        <f t="shared" ref="BQ19" si="160">BP19/$BG19</f>
        <v>1.36921900543163</v>
      </c>
      <c r="BR19" s="25">
        <v>1123.68</v>
      </c>
      <c r="BS19" s="58">
        <f t="shared" ref="BS19" si="161">BR19/$BG19</f>
        <v>1.4814111691188105</v>
      </c>
      <c r="BT19" s="25">
        <v>1123.68</v>
      </c>
      <c r="BU19" s="58">
        <f t="shared" ref="BU19" si="162">BT19/$BG19</f>
        <v>1.4814111691188105</v>
      </c>
      <c r="BV19" s="25">
        <v>1123.68</v>
      </c>
      <c r="BW19" s="58">
        <f t="shared" ref="BW19" si="163">BV19/$BG19</f>
        <v>1.4814111691188105</v>
      </c>
      <c r="BX19" s="25">
        <v>1123.68</v>
      </c>
      <c r="BY19" s="58">
        <f t="shared" ref="BY19" si="164">BX19/$BG19</f>
        <v>1.4814111691188105</v>
      </c>
      <c r="BZ19" s="71">
        <v>1123.68</v>
      </c>
      <c r="CA19" s="58">
        <f t="shared" ref="CA19" si="165">BZ19/$BG19</f>
        <v>1.4814111691188105</v>
      </c>
      <c r="CB19" s="25">
        <v>1123.68</v>
      </c>
      <c r="CC19" s="58">
        <f t="shared" ref="CC19" si="166">CB19/$BG19</f>
        <v>1.4814111691188105</v>
      </c>
      <c r="CD19" s="25">
        <v>1080.3399999999999</v>
      </c>
      <c r="CE19" s="58">
        <f t="shared" ref="CE19" si="167">CD19/$BG19</f>
        <v>1.4242735854031534</v>
      </c>
      <c r="CF19" s="25">
        <f t="shared" si="147"/>
        <v>12673.340000000002</v>
      </c>
      <c r="CG19" s="58">
        <f t="shared" si="106"/>
        <v>1.3923319973984429</v>
      </c>
    </row>
    <row r="20" spans="1:85" ht="15.75" x14ac:dyDescent="0.25">
      <c r="A20" s="27" t="s">
        <v>12</v>
      </c>
      <c r="B20" s="25">
        <v>4200.8999999999996</v>
      </c>
      <c r="C20" s="26">
        <v>2802</v>
      </c>
      <c r="D20" s="26">
        <v>3736</v>
      </c>
      <c r="E20" s="25">
        <v>3922.8</v>
      </c>
      <c r="F20" s="25">
        <f>E20/12</f>
        <v>326.90000000000003</v>
      </c>
      <c r="G20" s="25"/>
      <c r="H20" s="58">
        <f>G20/F20</f>
        <v>0</v>
      </c>
      <c r="I20" s="25">
        <v>150</v>
      </c>
      <c r="J20" s="58">
        <f>I20/F20</f>
        <v>0.45885591924135816</v>
      </c>
      <c r="K20" s="25"/>
      <c r="L20" s="58">
        <f>K20/F20</f>
        <v>0</v>
      </c>
      <c r="M20" s="25">
        <v>2350</v>
      </c>
      <c r="N20" s="58">
        <f>M20/F20</f>
        <v>7.188742734781278</v>
      </c>
      <c r="O20" s="64">
        <v>600</v>
      </c>
      <c r="P20" s="58">
        <f>O20/$F20</f>
        <v>1.8354236769654326</v>
      </c>
      <c r="Q20" s="64">
        <v>200</v>
      </c>
      <c r="R20" s="58">
        <f>Q20/$F20</f>
        <v>0.61180789232181088</v>
      </c>
      <c r="S20" s="64">
        <v>200</v>
      </c>
      <c r="T20" s="58">
        <f>S20/$F20</f>
        <v>0.61180789232181088</v>
      </c>
      <c r="U20" s="64">
        <v>300</v>
      </c>
      <c r="V20" s="58">
        <f>U20/$F20</f>
        <v>0.91771183848271631</v>
      </c>
      <c r="W20" s="64">
        <v>200</v>
      </c>
      <c r="X20" s="58">
        <f>W20/$F20</f>
        <v>0.61180789232181088</v>
      </c>
      <c r="Y20" s="25">
        <f>G20+I20+K20+M20+O20+Q20+S20+U20+W20</f>
        <v>4000</v>
      </c>
      <c r="Z20" s="58">
        <f>Y20/$E20</f>
        <v>1.0196798205363515</v>
      </c>
      <c r="AA20" s="25">
        <f>(Y20/9)</f>
        <v>444.44444444444446</v>
      </c>
      <c r="AB20" s="25">
        <f>AA20*$AC$7</f>
        <v>462.22222222222223</v>
      </c>
      <c r="AD20" s="69">
        <f>AB20/AA20</f>
        <v>1.04</v>
      </c>
      <c r="AG20" s="25"/>
      <c r="AH20" s="58">
        <f>AG20/$AB20</f>
        <v>0</v>
      </c>
      <c r="AI20" s="25"/>
      <c r="AJ20" s="58">
        <f>AI20/$AB20</f>
        <v>0</v>
      </c>
      <c r="AK20" s="25"/>
      <c r="AL20" s="58">
        <f>AK20/$AB20</f>
        <v>0</v>
      </c>
      <c r="AM20" s="25"/>
      <c r="AN20" s="58">
        <f>AM20/$AB20</f>
        <v>0</v>
      </c>
      <c r="AO20" s="25"/>
      <c r="AP20" s="58">
        <f>AO20/$AB20</f>
        <v>0</v>
      </c>
      <c r="AQ20" s="25"/>
      <c r="AR20" s="58">
        <f>AQ20/$AB20</f>
        <v>0</v>
      </c>
      <c r="AS20" s="25"/>
      <c r="AT20" s="58">
        <f>AS20/$AB20</f>
        <v>0</v>
      </c>
      <c r="AU20" s="25"/>
      <c r="AV20" s="58">
        <f>AU20/$AB20</f>
        <v>0</v>
      </c>
      <c r="AW20" s="25"/>
      <c r="AX20" s="58">
        <f>AW20/$AB20</f>
        <v>0</v>
      </c>
      <c r="AY20" s="25"/>
      <c r="AZ20" s="58">
        <f>AY20/$AB20</f>
        <v>0</v>
      </c>
      <c r="BA20" s="25">
        <f>AG20+AI20+AK20+AM20+AO20+AQ20+AS20+AU20+AW20+AY20</f>
        <v>0</v>
      </c>
      <c r="BB20" s="58">
        <f>BA20/(AB20*12)</f>
        <v>0</v>
      </c>
      <c r="BC20" s="25">
        <f>BA20/9</f>
        <v>0</v>
      </c>
      <c r="BD20" s="25">
        <f>AB20*BA1</f>
        <v>480.71111111111111</v>
      </c>
      <c r="BE20" s="25">
        <f>BD20*12</f>
        <v>5768.5333333333328</v>
      </c>
      <c r="BF20" s="128">
        <v>5000</v>
      </c>
      <c r="BG20" s="128">
        <f t="shared" si="35"/>
        <v>416.66666666666669</v>
      </c>
      <c r="BH20" s="71"/>
      <c r="BI20" s="140">
        <f t="shared" si="36"/>
        <v>0</v>
      </c>
      <c r="BJ20" s="71"/>
      <c r="BK20" s="58">
        <f t="shared" si="36"/>
        <v>0</v>
      </c>
      <c r="BL20" s="25"/>
      <c r="BM20" s="58">
        <f t="shared" ref="BM20" si="168">BL20/$BG20</f>
        <v>0</v>
      </c>
      <c r="BN20" s="25"/>
      <c r="BO20" s="58">
        <f t="shared" ref="BO20" si="169">BN20/$BG20</f>
        <v>0</v>
      </c>
      <c r="BP20" s="25"/>
      <c r="BQ20" s="58">
        <f t="shared" ref="BQ20" si="170">BP20/$BG20</f>
        <v>0</v>
      </c>
      <c r="BR20" s="25"/>
      <c r="BS20" s="58">
        <f t="shared" ref="BS20" si="171">BR20/$BG20</f>
        <v>0</v>
      </c>
      <c r="BT20" s="25"/>
      <c r="BU20" s="58">
        <f t="shared" ref="BU20" si="172">BT20/$BG20</f>
        <v>0</v>
      </c>
      <c r="BV20" s="25"/>
      <c r="BW20" s="58">
        <f t="shared" ref="BW20" si="173">BV20/$BG20</f>
        <v>0</v>
      </c>
      <c r="BX20" s="25"/>
      <c r="BY20" s="58">
        <f t="shared" ref="BY20" si="174">BX20/$BG20</f>
        <v>0</v>
      </c>
      <c r="BZ20" s="71">
        <v>2000</v>
      </c>
      <c r="CA20" s="58">
        <f t="shared" ref="CA20" si="175">BZ20/$BG20</f>
        <v>4.8</v>
      </c>
      <c r="CB20" s="25">
        <v>0</v>
      </c>
      <c r="CC20" s="58">
        <f t="shared" ref="CC20" si="176">CB20/$BG20</f>
        <v>0</v>
      </c>
      <c r="CD20" s="25"/>
      <c r="CE20" s="58">
        <f t="shared" ref="CE20" si="177">CD20/$BG20</f>
        <v>0</v>
      </c>
      <c r="CF20" s="25">
        <f t="shared" si="147"/>
        <v>2000</v>
      </c>
      <c r="CG20" s="58">
        <f t="shared" si="106"/>
        <v>0.4</v>
      </c>
    </row>
    <row r="21" spans="1:85" ht="15.75" x14ac:dyDescent="0.25">
      <c r="A21" s="27" t="s">
        <v>211</v>
      </c>
      <c r="B21" s="25">
        <v>103487.80777499998</v>
      </c>
      <c r="C21" s="26">
        <v>49909.86</v>
      </c>
      <c r="D21" s="26">
        <v>66546.48</v>
      </c>
      <c r="E21" s="25">
        <v>69873.804000000004</v>
      </c>
      <c r="F21" s="25">
        <f t="shared" si="92"/>
        <v>5822.817</v>
      </c>
      <c r="G21" s="25">
        <v>8082.82</v>
      </c>
      <c r="H21" s="58">
        <f t="shared" si="11"/>
        <v>1.3881288043227187</v>
      </c>
      <c r="I21" s="25">
        <v>6856.24</v>
      </c>
      <c r="J21" s="58">
        <f t="shared" si="12"/>
        <v>1.1774781862455921</v>
      </c>
      <c r="K21" s="25">
        <v>4944.33</v>
      </c>
      <c r="L21" s="58">
        <f t="shared" si="13"/>
        <v>0.84913024056912656</v>
      </c>
      <c r="M21" s="25"/>
      <c r="N21" s="58">
        <f t="shared" si="14"/>
        <v>0</v>
      </c>
      <c r="O21" s="64">
        <v>6116</v>
      </c>
      <c r="P21" s="58">
        <f t="shared" si="15"/>
        <v>1.0503507151263727</v>
      </c>
      <c r="Q21" s="64">
        <v>7736.53</v>
      </c>
      <c r="R21" s="58">
        <f t="shared" si="47"/>
        <v>1.3286575896168469</v>
      </c>
      <c r="S21" s="64">
        <v>7579.9</v>
      </c>
      <c r="T21" s="58">
        <f t="shared" si="48"/>
        <v>1.301758238323478</v>
      </c>
      <c r="U21" s="64"/>
      <c r="V21" s="58">
        <f t="shared" si="49"/>
        <v>0</v>
      </c>
      <c r="W21" s="64">
        <v>28777.03</v>
      </c>
      <c r="X21" s="58">
        <f t="shared" si="50"/>
        <v>4.9421147873958597</v>
      </c>
      <c r="Y21" s="25">
        <f t="shared" si="20"/>
        <v>70092.850000000006</v>
      </c>
      <c r="Z21" s="58">
        <f t="shared" si="21"/>
        <v>1.0031348801333331</v>
      </c>
      <c r="AA21" s="25">
        <f t="shared" si="51"/>
        <v>7788.0944444444449</v>
      </c>
      <c r="AB21" s="25">
        <v>7788</v>
      </c>
      <c r="AD21" s="69">
        <f t="shared" si="93"/>
        <v>0.99998787322815375</v>
      </c>
      <c r="AG21" s="25"/>
      <c r="AH21" s="58">
        <f t="shared" si="0"/>
        <v>0</v>
      </c>
      <c r="AI21" s="25">
        <v>4867.49</v>
      </c>
      <c r="AJ21" s="58">
        <f t="shared" ref="AJ21" si="178">AI21/$AB21</f>
        <v>0.62499871597329226</v>
      </c>
      <c r="AK21" s="25"/>
      <c r="AL21" s="58">
        <f t="shared" si="53"/>
        <v>0</v>
      </c>
      <c r="AM21" s="25"/>
      <c r="AN21" s="58">
        <f t="shared" si="54"/>
        <v>0</v>
      </c>
      <c r="AO21" s="25"/>
      <c r="AP21" s="58">
        <f t="shared" si="55"/>
        <v>0</v>
      </c>
      <c r="AQ21" s="25"/>
      <c r="AR21" s="58">
        <f t="shared" si="56"/>
        <v>0</v>
      </c>
      <c r="AS21" s="25"/>
      <c r="AT21" s="58">
        <f t="shared" si="57"/>
        <v>0</v>
      </c>
      <c r="AU21" s="25"/>
      <c r="AV21" s="58">
        <f t="shared" si="58"/>
        <v>0</v>
      </c>
      <c r="AW21" s="25"/>
      <c r="AX21" s="58">
        <f t="shared" si="59"/>
        <v>0</v>
      </c>
      <c r="AY21" s="25"/>
      <c r="AZ21" s="58">
        <f t="shared" si="60"/>
        <v>0</v>
      </c>
      <c r="BA21" s="25">
        <f t="shared" si="31"/>
        <v>4867.49</v>
      </c>
      <c r="BB21" s="58">
        <f t="shared" si="32"/>
        <v>5.2083226331107686E-2</v>
      </c>
      <c r="BC21" s="25">
        <f t="shared" si="33"/>
        <v>540.83222222222219</v>
      </c>
      <c r="BD21" s="25">
        <f>AB21*BA1</f>
        <v>8099.52</v>
      </c>
      <c r="BE21" s="25">
        <f t="shared" si="34"/>
        <v>97194.240000000005</v>
      </c>
      <c r="BF21" s="128">
        <f>Concessionario!D6</f>
        <v>79400</v>
      </c>
      <c r="BG21" s="128">
        <f t="shared" si="35"/>
        <v>6616.666666666667</v>
      </c>
      <c r="BH21" s="71"/>
      <c r="BI21" s="140">
        <f t="shared" si="36"/>
        <v>0</v>
      </c>
      <c r="BJ21" s="71">
        <v>5649.15</v>
      </c>
      <c r="BK21" s="58">
        <f t="shared" si="36"/>
        <v>0.85377581863979835</v>
      </c>
      <c r="BL21" s="25">
        <v>2862.86</v>
      </c>
      <c r="BM21" s="58">
        <f t="shared" ref="BM21" si="179">BL21/$BG21</f>
        <v>0.43267405541561715</v>
      </c>
      <c r="BN21" s="25"/>
      <c r="BO21" s="58">
        <f t="shared" ref="BO21" si="180">BN21/$BG21</f>
        <v>0</v>
      </c>
      <c r="BP21" s="25">
        <v>2515.13</v>
      </c>
      <c r="BQ21" s="58">
        <f t="shared" ref="BQ21" si="181">BP21/$BG21</f>
        <v>0.38012040302267003</v>
      </c>
      <c r="BR21" s="25">
        <v>8270.0499999999993</v>
      </c>
      <c r="BS21" s="58">
        <f t="shared" ref="BS21" si="182">BR21/$BG21</f>
        <v>1.2498816120906799</v>
      </c>
      <c r="BT21" s="25"/>
      <c r="BU21" s="58">
        <f t="shared" ref="BU21" si="183">BT21/$BG21</f>
        <v>0</v>
      </c>
      <c r="BV21" s="25">
        <v>6848.4</v>
      </c>
      <c r="BW21" s="58">
        <f t="shared" ref="BW21" si="184">BV21/$BG21</f>
        <v>1.0350226700251888</v>
      </c>
      <c r="BX21" s="25">
        <v>14175.64</v>
      </c>
      <c r="BY21" s="58">
        <f t="shared" ref="BY21" si="185">BX21/$BG21</f>
        <v>2.1424141057934505</v>
      </c>
      <c r="BZ21" s="71"/>
      <c r="CA21" s="58">
        <f t="shared" ref="CA21" si="186">BZ21/$BG21</f>
        <v>0</v>
      </c>
      <c r="CB21" s="25">
        <v>7233.62</v>
      </c>
      <c r="CC21" s="58">
        <f t="shared" ref="CC21" si="187">CB21/$BG21</f>
        <v>1.0932423173803525</v>
      </c>
      <c r="CD21" s="25"/>
      <c r="CE21" s="58">
        <f t="shared" ref="CE21" si="188">CD21/$BG21</f>
        <v>0</v>
      </c>
      <c r="CF21" s="25">
        <f t="shared" si="147"/>
        <v>47554.85</v>
      </c>
      <c r="CG21" s="58">
        <f t="shared" si="106"/>
        <v>0.59892758186397987</v>
      </c>
    </row>
    <row r="22" spans="1:85" ht="15.75" x14ac:dyDescent="0.25">
      <c r="A22" s="27" t="s">
        <v>212</v>
      </c>
      <c r="B22" s="25">
        <v>27094.237499999999</v>
      </c>
      <c r="C22" s="26">
        <v>33000</v>
      </c>
      <c r="D22" s="26">
        <v>33000</v>
      </c>
      <c r="E22" s="25">
        <v>34650</v>
      </c>
      <c r="F22" s="25">
        <f t="shared" si="92"/>
        <v>2887.5</v>
      </c>
      <c r="G22" s="25"/>
      <c r="H22" s="58">
        <f t="shared" si="11"/>
        <v>0</v>
      </c>
      <c r="I22" s="25"/>
      <c r="J22" s="58">
        <f t="shared" si="12"/>
        <v>0</v>
      </c>
      <c r="K22" s="25"/>
      <c r="L22" s="58">
        <f t="shared" si="13"/>
        <v>0</v>
      </c>
      <c r="M22" s="25"/>
      <c r="N22" s="58">
        <f t="shared" si="14"/>
        <v>0</v>
      </c>
      <c r="O22" s="64"/>
      <c r="P22" s="58">
        <f t="shared" si="15"/>
        <v>0</v>
      </c>
      <c r="Q22" s="64"/>
      <c r="R22" s="58">
        <f t="shared" si="47"/>
        <v>0</v>
      </c>
      <c r="S22" s="64"/>
      <c r="T22" s="58">
        <f t="shared" si="48"/>
        <v>0</v>
      </c>
      <c r="U22" s="64"/>
      <c r="V22" s="58">
        <f t="shared" si="49"/>
        <v>0</v>
      </c>
      <c r="W22" s="64"/>
      <c r="X22" s="58">
        <f t="shared" si="50"/>
        <v>0</v>
      </c>
      <c r="Y22" s="25">
        <f t="shared" si="20"/>
        <v>0</v>
      </c>
      <c r="Z22" s="58">
        <f t="shared" si="21"/>
        <v>0</v>
      </c>
      <c r="AA22" s="25">
        <f t="shared" si="51"/>
        <v>0</v>
      </c>
      <c r="AB22" s="25">
        <f t="shared" ref="AB22:AB23" si="189">AA22*$AC$7</f>
        <v>0</v>
      </c>
      <c r="AD22" s="69"/>
      <c r="AG22" s="25"/>
      <c r="AH22" s="58" t="e">
        <f t="shared" si="0"/>
        <v>#DIV/0!</v>
      </c>
      <c r="AI22" s="25"/>
      <c r="AJ22" s="58" t="e">
        <f t="shared" ref="AJ22" si="190">AI22/$AB22</f>
        <v>#DIV/0!</v>
      </c>
      <c r="AK22" s="25"/>
      <c r="AL22" s="58" t="e">
        <f t="shared" si="53"/>
        <v>#DIV/0!</v>
      </c>
      <c r="AM22" s="25">
        <v>2540</v>
      </c>
      <c r="AN22" s="58" t="e">
        <f t="shared" si="54"/>
        <v>#DIV/0!</v>
      </c>
      <c r="AO22" s="25"/>
      <c r="AP22" s="58" t="e">
        <f t="shared" si="55"/>
        <v>#DIV/0!</v>
      </c>
      <c r="AQ22" s="25"/>
      <c r="AR22" s="58" t="e">
        <f t="shared" si="56"/>
        <v>#DIV/0!</v>
      </c>
      <c r="AS22" s="25"/>
      <c r="AT22" s="58" t="e">
        <f t="shared" si="57"/>
        <v>#DIV/0!</v>
      </c>
      <c r="AU22" s="25"/>
      <c r="AV22" s="58" t="e">
        <f t="shared" si="58"/>
        <v>#DIV/0!</v>
      </c>
      <c r="AW22" s="25"/>
      <c r="AX22" s="58" t="e">
        <f t="shared" si="59"/>
        <v>#DIV/0!</v>
      </c>
      <c r="AY22" s="25"/>
      <c r="AZ22" s="58" t="e">
        <f t="shared" si="60"/>
        <v>#DIV/0!</v>
      </c>
      <c r="BA22" s="25">
        <f t="shared" si="31"/>
        <v>2540</v>
      </c>
      <c r="BB22" s="58" t="e">
        <f t="shared" si="32"/>
        <v>#DIV/0!</v>
      </c>
      <c r="BC22" s="25">
        <f t="shared" si="33"/>
        <v>282.22222222222223</v>
      </c>
      <c r="BD22" s="25">
        <v>0</v>
      </c>
      <c r="BE22" s="25">
        <f t="shared" si="34"/>
        <v>0</v>
      </c>
      <c r="BF22" s="128">
        <v>0</v>
      </c>
      <c r="BG22" s="128">
        <f t="shared" si="35"/>
        <v>0</v>
      </c>
      <c r="BH22" s="71"/>
      <c r="BI22" s="140" t="e">
        <f t="shared" si="36"/>
        <v>#DIV/0!</v>
      </c>
      <c r="BJ22" s="71"/>
      <c r="BK22" s="58" t="e">
        <f t="shared" si="36"/>
        <v>#DIV/0!</v>
      </c>
      <c r="BL22" s="25"/>
      <c r="BM22" s="58" t="e">
        <f t="shared" ref="BM22" si="191">BL22/$BG22</f>
        <v>#DIV/0!</v>
      </c>
      <c r="BN22" s="25"/>
      <c r="BO22" s="58" t="e">
        <f t="shared" ref="BO22" si="192">BN22/$BG22</f>
        <v>#DIV/0!</v>
      </c>
      <c r="BP22" s="25"/>
      <c r="BQ22" s="58" t="e">
        <f t="shared" ref="BQ22" si="193">BP22/$BG22</f>
        <v>#DIV/0!</v>
      </c>
      <c r="BR22" s="25"/>
      <c r="BS22" s="58" t="e">
        <f t="shared" ref="BS22" si="194">BR22/$BG22</f>
        <v>#DIV/0!</v>
      </c>
      <c r="BT22" s="25">
        <v>1200</v>
      </c>
      <c r="BU22" s="58" t="e">
        <f t="shared" ref="BU22" si="195">BT22/$BG22</f>
        <v>#DIV/0!</v>
      </c>
      <c r="BV22" s="25"/>
      <c r="BW22" s="58" t="e">
        <f t="shared" ref="BW22" si="196">BV22/$BG22</f>
        <v>#DIV/0!</v>
      </c>
      <c r="BX22" s="25"/>
      <c r="BY22" s="58" t="e">
        <f t="shared" ref="BY22" si="197">BX22/$BG22</f>
        <v>#DIV/0!</v>
      </c>
      <c r="BZ22" s="71"/>
      <c r="CA22" s="58" t="e">
        <f t="shared" ref="CA22" si="198">BZ22/$BG22</f>
        <v>#DIV/0!</v>
      </c>
      <c r="CB22" s="25"/>
      <c r="CC22" s="58" t="e">
        <f t="shared" ref="CC22" si="199">CB22/$BG22</f>
        <v>#DIV/0!</v>
      </c>
      <c r="CD22" s="25"/>
      <c r="CE22" s="58" t="e">
        <f t="shared" ref="CE22" si="200">CD22/$BG22</f>
        <v>#DIV/0!</v>
      </c>
      <c r="CF22" s="25">
        <f t="shared" si="147"/>
        <v>1200</v>
      </c>
      <c r="CG22" s="58" t="e">
        <f t="shared" si="106"/>
        <v>#DIV/0!</v>
      </c>
    </row>
    <row r="23" spans="1:85" ht="15.75" x14ac:dyDescent="0.25">
      <c r="A23" s="27" t="s">
        <v>28</v>
      </c>
      <c r="B23" s="25">
        <v>6097.5749999999998</v>
      </c>
      <c r="C23" s="26">
        <v>1105</v>
      </c>
      <c r="D23" s="26">
        <v>1473.3333333333333</v>
      </c>
      <c r="E23" s="25">
        <v>4000</v>
      </c>
      <c r="F23" s="25">
        <f>E23/12</f>
        <v>333.33333333333331</v>
      </c>
      <c r="G23" s="25"/>
      <c r="H23" s="58">
        <f>G23/F23</f>
        <v>0</v>
      </c>
      <c r="I23" s="25"/>
      <c r="J23" s="58">
        <f>I23/F23</f>
        <v>0</v>
      </c>
      <c r="K23" s="25">
        <v>70</v>
      </c>
      <c r="L23" s="58">
        <f>K23/F23</f>
        <v>0.21000000000000002</v>
      </c>
      <c r="M23" s="25"/>
      <c r="N23" s="58">
        <f>M23/F23</f>
        <v>0</v>
      </c>
      <c r="O23" s="64">
        <v>1950</v>
      </c>
      <c r="P23" s="58">
        <f t="shared" si="15"/>
        <v>5.8500000000000005</v>
      </c>
      <c r="Q23" s="64">
        <v>960</v>
      </c>
      <c r="R23" s="58">
        <f t="shared" si="47"/>
        <v>2.8800000000000003</v>
      </c>
      <c r="S23" s="64">
        <v>680</v>
      </c>
      <c r="T23" s="58">
        <f t="shared" si="48"/>
        <v>2.04</v>
      </c>
      <c r="U23" s="64"/>
      <c r="V23" s="58">
        <f t="shared" si="49"/>
        <v>0</v>
      </c>
      <c r="W23" s="64">
        <v>630</v>
      </c>
      <c r="X23" s="58">
        <f t="shared" si="50"/>
        <v>1.8900000000000001</v>
      </c>
      <c r="Y23" s="25">
        <f t="shared" si="20"/>
        <v>4290</v>
      </c>
      <c r="Z23" s="58">
        <f>Y23/$E23</f>
        <v>1.0725</v>
      </c>
      <c r="AA23" s="25">
        <f t="shared" si="51"/>
        <v>476.66666666666669</v>
      </c>
      <c r="AB23" s="25">
        <f t="shared" si="189"/>
        <v>495.73333333333335</v>
      </c>
      <c r="AD23" s="69">
        <f t="shared" si="93"/>
        <v>1.04</v>
      </c>
      <c r="AG23" s="25">
        <v>335</v>
      </c>
      <c r="AH23" s="58">
        <f t="shared" si="0"/>
        <v>0.67576654115115653</v>
      </c>
      <c r="AI23" s="25">
        <v>300</v>
      </c>
      <c r="AJ23" s="58">
        <f t="shared" ref="AJ23" si="201">AI23/$AB23</f>
        <v>0.6051640667025282</v>
      </c>
      <c r="AK23" s="25"/>
      <c r="AL23" s="58">
        <f t="shared" si="53"/>
        <v>0</v>
      </c>
      <c r="AM23" s="25">
        <v>120</v>
      </c>
      <c r="AN23" s="58">
        <f t="shared" si="54"/>
        <v>0.24206562668101128</v>
      </c>
      <c r="AO23" s="25"/>
      <c r="AP23" s="58">
        <f t="shared" si="55"/>
        <v>0</v>
      </c>
      <c r="AQ23" s="25"/>
      <c r="AR23" s="58">
        <f t="shared" si="56"/>
        <v>0</v>
      </c>
      <c r="AS23" s="25"/>
      <c r="AT23" s="58">
        <f t="shared" si="57"/>
        <v>0</v>
      </c>
      <c r="AU23" s="25">
        <v>360</v>
      </c>
      <c r="AV23" s="58">
        <f t="shared" si="58"/>
        <v>0.72619688004303384</v>
      </c>
      <c r="AW23" s="25">
        <v>519</v>
      </c>
      <c r="AX23" s="58">
        <f t="shared" si="59"/>
        <v>1.0469338353953739</v>
      </c>
      <c r="AY23" s="25">
        <v>262</v>
      </c>
      <c r="AZ23" s="58">
        <f t="shared" si="60"/>
        <v>0.52850995158687464</v>
      </c>
      <c r="BA23" s="25">
        <f t="shared" si="31"/>
        <v>1896</v>
      </c>
      <c r="BB23" s="58">
        <f t="shared" si="32"/>
        <v>0.31871974179666485</v>
      </c>
      <c r="BC23" s="25">
        <f t="shared" si="33"/>
        <v>210.66666666666666</v>
      </c>
      <c r="BD23" s="25">
        <f>AB23*BA1</f>
        <v>515.5626666666667</v>
      </c>
      <c r="BE23" s="25">
        <f t="shared" si="34"/>
        <v>6186.7520000000004</v>
      </c>
      <c r="BF23" s="128">
        <v>6186.75</v>
      </c>
      <c r="BG23" s="128">
        <f t="shared" si="35"/>
        <v>515.5625</v>
      </c>
      <c r="BH23" s="71">
        <v>484</v>
      </c>
      <c r="BI23" s="140">
        <f t="shared" si="36"/>
        <v>0.93878045823736211</v>
      </c>
      <c r="BJ23" s="71">
        <v>65</v>
      </c>
      <c r="BK23" s="58">
        <f t="shared" si="36"/>
        <v>0.12607588798642261</v>
      </c>
      <c r="BL23" s="25">
        <v>200</v>
      </c>
      <c r="BM23" s="58">
        <f t="shared" ref="BM23" si="202">BL23/$BG23</f>
        <v>0.38792580918899261</v>
      </c>
      <c r="BN23" s="25">
        <v>223</v>
      </c>
      <c r="BO23" s="58">
        <f t="shared" ref="BO23" si="203">BN23/$BG23</f>
        <v>0.43253727724572677</v>
      </c>
      <c r="BP23" s="25">
        <v>210</v>
      </c>
      <c r="BQ23" s="58">
        <f t="shared" ref="BQ23" si="204">BP23/$BG23</f>
        <v>0.40732209964844224</v>
      </c>
      <c r="BR23" s="25">
        <v>124</v>
      </c>
      <c r="BS23" s="58">
        <f t="shared" ref="BS23" si="205">BR23/$BG23</f>
        <v>0.24051400169717541</v>
      </c>
      <c r="BT23" s="25">
        <v>165</v>
      </c>
      <c r="BU23" s="58">
        <f t="shared" ref="BU23" si="206">BT23/$BG23</f>
        <v>0.32003879258091888</v>
      </c>
      <c r="BV23" s="25">
        <v>300</v>
      </c>
      <c r="BW23" s="58">
        <f t="shared" ref="BW23" si="207">BV23/$BG23</f>
        <v>0.58188871378348894</v>
      </c>
      <c r="BX23" s="25">
        <v>125</v>
      </c>
      <c r="BY23" s="58">
        <f t="shared" ref="BY23" si="208">BX23/$BG23</f>
        <v>0.24245363074312037</v>
      </c>
      <c r="BZ23" s="71">
        <v>335</v>
      </c>
      <c r="CA23" s="58">
        <f t="shared" ref="CA23" si="209">BZ23/$BG23</f>
        <v>0.64977573039156267</v>
      </c>
      <c r="CB23" s="25">
        <v>60</v>
      </c>
      <c r="CC23" s="58">
        <f t="shared" ref="CC23" si="210">CB23/$BG23</f>
        <v>0.11637774275669778</v>
      </c>
      <c r="CD23" s="25"/>
      <c r="CE23" s="58">
        <f t="shared" ref="CE23" si="211">CD23/$BG23</f>
        <v>0</v>
      </c>
      <c r="CF23" s="25">
        <f t="shared" si="147"/>
        <v>2291</v>
      </c>
      <c r="CG23" s="58">
        <f t="shared" si="106"/>
        <v>0.37030751202165918</v>
      </c>
    </row>
    <row r="24" spans="1:85" ht="15.75" x14ac:dyDescent="0.25">
      <c r="A24" s="27" t="s">
        <v>195</v>
      </c>
      <c r="B24" s="25">
        <v>1081.5749999999998</v>
      </c>
      <c r="C24" s="26">
        <v>5697</v>
      </c>
      <c r="D24" s="26">
        <v>7596</v>
      </c>
      <c r="E24" s="28">
        <v>1000</v>
      </c>
      <c r="F24" s="25">
        <f>E24/12</f>
        <v>83.333333333333329</v>
      </c>
      <c r="G24" s="25">
        <v>2039.95</v>
      </c>
      <c r="H24" s="58">
        <f>G24/F24</f>
        <v>24.479400000000002</v>
      </c>
      <c r="I24" s="25">
        <v>690</v>
      </c>
      <c r="J24" s="58">
        <f>I24/F24</f>
        <v>8.2800000000000011</v>
      </c>
      <c r="K24" s="25">
        <v>1334.55</v>
      </c>
      <c r="L24" s="58">
        <f>K24/F24</f>
        <v>16.014600000000002</v>
      </c>
      <c r="M24" s="25">
        <v>1110</v>
      </c>
      <c r="N24" s="58">
        <f>M24/F24</f>
        <v>13.32</v>
      </c>
      <c r="O24" s="64"/>
      <c r="P24" s="58">
        <f>O24/$F24</f>
        <v>0</v>
      </c>
      <c r="Q24" s="64"/>
      <c r="R24" s="58">
        <f>Q24/$F24</f>
        <v>0</v>
      </c>
      <c r="S24" s="64">
        <v>1298</v>
      </c>
      <c r="T24" s="58">
        <f>S24/$F24</f>
        <v>15.576000000000001</v>
      </c>
      <c r="U24" s="64">
        <v>157.5</v>
      </c>
      <c r="V24" s="58">
        <f>U24/$F24</f>
        <v>1.8900000000000001</v>
      </c>
      <c r="W24" s="64">
        <v>514.5</v>
      </c>
      <c r="X24" s="58">
        <f>W24/$F24</f>
        <v>6.1740000000000004</v>
      </c>
      <c r="Y24" s="25">
        <f>G24+I24+K24+M24+O24+Q24+S24+U24+W24</f>
        <v>7144.5</v>
      </c>
      <c r="Z24" s="58">
        <f>Y24/$E24</f>
        <v>7.1444999999999999</v>
      </c>
      <c r="AA24" s="25">
        <f>(Y24/9)</f>
        <v>793.83333333333337</v>
      </c>
      <c r="AB24" s="25">
        <f>AA24*$AC$7</f>
        <v>825.5866666666667</v>
      </c>
      <c r="AD24" s="69">
        <f>AB24/AA24</f>
        <v>1.04</v>
      </c>
      <c r="AE24" s="69"/>
      <c r="AG24" s="25">
        <v>690</v>
      </c>
      <c r="AH24" s="58">
        <f>AG24/$AB24</f>
        <v>0.83576931151988887</v>
      </c>
      <c r="AI24" s="25">
        <v>1254</v>
      </c>
      <c r="AJ24" s="58">
        <f>AI24/$AB24</f>
        <v>1.5189198791970153</v>
      </c>
      <c r="AK24" s="25"/>
      <c r="AL24" s="58">
        <f>AK24/$AB24</f>
        <v>0</v>
      </c>
      <c r="AM24" s="25">
        <v>892</v>
      </c>
      <c r="AN24" s="58">
        <f>AM24/$AB24</f>
        <v>1.0804438056170158</v>
      </c>
      <c r="AO24" s="25">
        <v>561</v>
      </c>
      <c r="AP24" s="58">
        <f>AO24/$AB24</f>
        <v>0.6795167880618227</v>
      </c>
      <c r="AQ24" s="25"/>
      <c r="AR24" s="58">
        <f>AQ24/$AB24</f>
        <v>0</v>
      </c>
      <c r="AS24" s="25"/>
      <c r="AT24" s="58">
        <f>AS24/$AB24</f>
        <v>0</v>
      </c>
      <c r="AU24" s="25">
        <v>33</v>
      </c>
      <c r="AV24" s="58">
        <f>AU24/$AB24</f>
        <v>3.997157576834251E-2</v>
      </c>
      <c r="AW24" s="25">
        <v>33</v>
      </c>
      <c r="AX24" s="58">
        <f>AW24/$AB24</f>
        <v>3.997157576834251E-2</v>
      </c>
      <c r="AY24" s="25">
        <v>1055</v>
      </c>
      <c r="AZ24" s="58">
        <f>AY24/$AB24</f>
        <v>1.2778791647151924</v>
      </c>
      <c r="BA24" s="25">
        <f>AG24+AI24+AK24+AM24+AO24+AQ24+AS24+AU24+AW24+AY24</f>
        <v>4518</v>
      </c>
      <c r="BB24" s="58">
        <f>BA24/(AB24*12)</f>
        <v>0.45603934172063498</v>
      </c>
      <c r="BC24" s="25">
        <f>BA24/9</f>
        <v>502</v>
      </c>
      <c r="BD24" s="25">
        <f>AB24*BA1</f>
        <v>858.61013333333335</v>
      </c>
      <c r="BE24" s="25">
        <f>BD24*12</f>
        <v>10303.321599999999</v>
      </c>
      <c r="BF24" s="128">
        <f>10300*BC1</f>
        <v>10815</v>
      </c>
      <c r="BG24" s="128">
        <f t="shared" si="35"/>
        <v>901.25</v>
      </c>
      <c r="BH24" s="71">
        <v>1142.8</v>
      </c>
      <c r="BI24" s="140">
        <f t="shared" si="36"/>
        <v>1.2680166435506242</v>
      </c>
      <c r="BJ24" s="71">
        <v>1732.5</v>
      </c>
      <c r="BK24" s="58">
        <f t="shared" si="36"/>
        <v>1.9223300970873787</v>
      </c>
      <c r="BL24" s="25">
        <v>1316.7</v>
      </c>
      <c r="BM24" s="58">
        <f t="shared" ref="BM24" si="212">BL24/$BG24</f>
        <v>1.4609708737864078</v>
      </c>
      <c r="BN24" s="25">
        <v>1934.48</v>
      </c>
      <c r="BO24" s="58">
        <f t="shared" ref="BO24" si="213">BN24/$BG24</f>
        <v>2.1464410540915395</v>
      </c>
      <c r="BP24" s="25">
        <v>1905.75</v>
      </c>
      <c r="BQ24" s="58">
        <f t="shared" ref="BQ24" si="214">BP24/$BG24</f>
        <v>2.1145631067961164</v>
      </c>
      <c r="BR24" s="25">
        <v>1907.5</v>
      </c>
      <c r="BS24" s="58">
        <f t="shared" ref="BS24" si="215">BR24/$BG24</f>
        <v>2.116504854368932</v>
      </c>
      <c r="BT24" s="25">
        <v>1212.75</v>
      </c>
      <c r="BU24" s="58">
        <f t="shared" ref="BU24" si="216">BT24/$BG24</f>
        <v>1.3456310679611649</v>
      </c>
      <c r="BV24" s="25">
        <v>694.05</v>
      </c>
      <c r="BW24" s="58">
        <f t="shared" ref="BW24" si="217">BV24/$BG24</f>
        <v>0.77009708737864069</v>
      </c>
      <c r="BX24" s="25">
        <v>1351.7</v>
      </c>
      <c r="BY24" s="58">
        <f t="shared" ref="BY24" si="218">BX24/$BG24</f>
        <v>1.4998058252427184</v>
      </c>
      <c r="BZ24" s="71">
        <v>1109.8499999999999</v>
      </c>
      <c r="CA24" s="58">
        <f t="shared" ref="CA24" si="219">BZ24/$BG24</f>
        <v>1.2314563106796115</v>
      </c>
      <c r="CB24" s="25">
        <v>1248.8</v>
      </c>
      <c r="CC24" s="58">
        <f t="shared" ref="CC24" si="220">CB24/$BG24</f>
        <v>1.385631067961165</v>
      </c>
      <c r="CD24" s="25">
        <v>1596</v>
      </c>
      <c r="CE24" s="58">
        <f t="shared" ref="CE24" si="221">CD24/$BG24</f>
        <v>1.770873786407767</v>
      </c>
      <c r="CF24" s="25">
        <f t="shared" si="147"/>
        <v>17152.879999999997</v>
      </c>
      <c r="CG24" s="58">
        <f t="shared" si="106"/>
        <v>1.5860268146093386</v>
      </c>
    </row>
    <row r="25" spans="1:85" ht="15.75" x14ac:dyDescent="0.25">
      <c r="A25" s="18" t="s">
        <v>17</v>
      </c>
      <c r="B25" s="19">
        <v>506342.62739999994</v>
      </c>
      <c r="C25" s="29">
        <v>331733.01</v>
      </c>
      <c r="D25" s="19">
        <v>442310.67999999993</v>
      </c>
      <c r="E25" s="19">
        <v>427396.64999999997</v>
      </c>
      <c r="F25" s="19">
        <f>E25/12</f>
        <v>35616.387499999997</v>
      </c>
      <c r="G25" s="19">
        <f>SUM(G26:G42)</f>
        <v>78696.25</v>
      </c>
      <c r="H25" s="56">
        <f t="shared" si="11"/>
        <v>2.2095517126772055</v>
      </c>
      <c r="I25" s="19">
        <f>SUM(I26:I42)</f>
        <v>123852.97</v>
      </c>
      <c r="J25" s="56">
        <f t="shared" si="12"/>
        <v>3.4774152768862372</v>
      </c>
      <c r="K25" s="19">
        <f>SUM(K26:K42)</f>
        <v>103584.76</v>
      </c>
      <c r="L25" s="56">
        <f t="shared" si="13"/>
        <v>2.9083454912433218</v>
      </c>
      <c r="M25" s="19">
        <f>SUM(M26:M42)</f>
        <v>181835.68000000002</v>
      </c>
      <c r="N25" s="56">
        <f t="shared" si="14"/>
        <v>5.1053936899131065</v>
      </c>
      <c r="O25" s="62">
        <f>SUM(O26:O42)</f>
        <v>204331.15000000002</v>
      </c>
      <c r="P25" s="56">
        <f t="shared" si="15"/>
        <v>5.7369981725406607</v>
      </c>
      <c r="Q25" s="62">
        <f>SUM(Q26:Q42)</f>
        <v>152470.58000000002</v>
      </c>
      <c r="R25" s="56">
        <f t="shared" si="47"/>
        <v>4.2809108588006017</v>
      </c>
      <c r="S25" s="62">
        <f>SUM(S26:S42)</f>
        <v>72759.840000000011</v>
      </c>
      <c r="T25" s="56">
        <f t="shared" si="48"/>
        <v>2.0428753477595114</v>
      </c>
      <c r="U25" s="62">
        <f>SUM(U26:U42)</f>
        <v>156746.13</v>
      </c>
      <c r="V25" s="56">
        <f t="shared" si="49"/>
        <v>4.4009553186717776</v>
      </c>
      <c r="W25" s="62">
        <f>SUM(W26:W42)</f>
        <v>146142.87</v>
      </c>
      <c r="X25" s="56">
        <f t="shared" si="50"/>
        <v>4.103247978195431</v>
      </c>
      <c r="Y25" s="19">
        <f t="shared" si="20"/>
        <v>1220420.23</v>
      </c>
      <c r="Z25" s="56">
        <f t="shared" si="21"/>
        <v>2.8554744872239874</v>
      </c>
      <c r="AA25" s="19">
        <f t="shared" si="51"/>
        <v>135602.24777777778</v>
      </c>
      <c r="AB25" s="19">
        <f>SUM(AB26:AB42)</f>
        <v>126877.93475555556</v>
      </c>
      <c r="AD25" s="69">
        <f t="shared" si="93"/>
        <v>0.93566247488375376</v>
      </c>
      <c r="AG25" s="19">
        <f>SUM(AG26:AG42)</f>
        <v>195842.59</v>
      </c>
      <c r="AH25" s="56">
        <f t="shared" si="0"/>
        <v>1.5435512122522526</v>
      </c>
      <c r="AI25" s="19">
        <f>SUM(AI26:AI42)</f>
        <v>288547.62</v>
      </c>
      <c r="AJ25" s="56">
        <f t="shared" ref="AJ25" si="222">AI25/$AB25</f>
        <v>2.2742143506348764</v>
      </c>
      <c r="AK25" s="19">
        <f>SUM(AK26:AK42)</f>
        <v>0</v>
      </c>
      <c r="AL25" s="56">
        <f t="shared" si="53"/>
        <v>0</v>
      </c>
      <c r="AM25" s="19">
        <f>SUM(AM26:AM42)</f>
        <v>79266.48</v>
      </c>
      <c r="AN25" s="56">
        <f t="shared" si="54"/>
        <v>0.62474598244931778</v>
      </c>
      <c r="AO25" s="19">
        <f>SUM(AO26:AO42)</f>
        <v>8035.4600000000009</v>
      </c>
      <c r="AP25" s="56">
        <f t="shared" si="55"/>
        <v>6.3332209934542263E-2</v>
      </c>
      <c r="AQ25" s="19">
        <f>SUM(AQ26:AQ42)</f>
        <v>8602.2400000000016</v>
      </c>
      <c r="AR25" s="56">
        <f t="shared" si="56"/>
        <v>6.779933813214388E-2</v>
      </c>
      <c r="AS25" s="19">
        <f>SUM(AS26:AS42)</f>
        <v>13631.89</v>
      </c>
      <c r="AT25" s="56">
        <f t="shared" si="57"/>
        <v>0.10744098275451401</v>
      </c>
      <c r="AU25" s="19">
        <f>SUM(AU26:AU42)</f>
        <v>7520.7000000000007</v>
      </c>
      <c r="AV25" s="56">
        <f t="shared" si="58"/>
        <v>5.9275082105406787E-2</v>
      </c>
      <c r="AW25" s="19">
        <f>SUM(AW26:AW42)</f>
        <v>58823.9</v>
      </c>
      <c r="AX25" s="56">
        <f t="shared" si="59"/>
        <v>0.46362592607872111</v>
      </c>
      <c r="AY25" s="19">
        <f>SUM(AY26:AZ29)</f>
        <v>37442.723160120811</v>
      </c>
      <c r="AZ25" s="19">
        <f t="shared" ref="AZ25:BA25" si="223">SUM(AZ26:BA29)</f>
        <v>194593.49316012085</v>
      </c>
      <c r="BA25" s="19">
        <f t="shared" si="223"/>
        <v>194592.17870147087</v>
      </c>
      <c r="BB25" s="56">
        <f t="shared" si="32"/>
        <v>0.12780799847531563</v>
      </c>
      <c r="BC25" s="19">
        <f t="shared" si="33"/>
        <v>21621.353189052319</v>
      </c>
      <c r="BD25" s="19">
        <f>SUM(BD26:BD42)</f>
        <v>149987.34948622226</v>
      </c>
      <c r="BE25" s="19">
        <f t="shared" si="34"/>
        <v>1799848.1938346671</v>
      </c>
      <c r="BF25" s="132">
        <f>SUM(BF26:BF29)</f>
        <v>547050</v>
      </c>
      <c r="BG25" s="132">
        <f t="shared" si="35"/>
        <v>45587.5</v>
      </c>
      <c r="BH25" s="19">
        <f>SUM(BH26:BH29)</f>
        <v>33429.229999999996</v>
      </c>
      <c r="BI25" s="19">
        <f t="shared" si="36"/>
        <v>0.73329816287359462</v>
      </c>
      <c r="BJ25" s="19">
        <f>SUM(BJ26:BJ29)</f>
        <v>38262.080000000002</v>
      </c>
      <c r="BK25" s="19">
        <f t="shared" si="36"/>
        <v>0.83931077598025783</v>
      </c>
      <c r="BL25" s="19">
        <f>SUM(BL26:BL29)</f>
        <v>24855.9</v>
      </c>
      <c r="BM25" s="19">
        <f t="shared" ref="BM25" si="224">BL25/$BG25</f>
        <v>0.54523498766109135</v>
      </c>
      <c r="BN25" s="19">
        <f>SUM(BN26:BN29)</f>
        <v>7471.5</v>
      </c>
      <c r="BO25" s="19">
        <f t="shared" ref="BO25" si="225">BN25/$BG25</f>
        <v>0.16389361118727722</v>
      </c>
      <c r="BP25" s="19">
        <f>SUM(BP26:BP29)</f>
        <v>29613.469999999998</v>
      </c>
      <c r="BQ25" s="19">
        <f t="shared" ref="BQ25" si="226">BP25/$BG25</f>
        <v>0.6495962709075952</v>
      </c>
      <c r="BR25" s="19">
        <f>SUM(BR26:BR29)</f>
        <v>54363.630000000005</v>
      </c>
      <c r="BS25" s="19">
        <f t="shared" ref="BS25" si="227">BR25/$BG25</f>
        <v>1.1925117630929531</v>
      </c>
      <c r="BT25" s="19">
        <f>SUM(BT26:BT29)</f>
        <v>45321.75</v>
      </c>
      <c r="BU25" s="19">
        <f t="shared" ref="BU25" si="228">BT25/$BG25</f>
        <v>0.99417055113792163</v>
      </c>
      <c r="BV25" s="19">
        <f>SUM(BV26:BV29)</f>
        <v>66613.790000000008</v>
      </c>
      <c r="BW25" s="19">
        <f t="shared" ref="BW25" si="229">BV25/$BG25</f>
        <v>1.4612292843432961</v>
      </c>
      <c r="BX25" s="19">
        <f>SUM(BX26:BX29)</f>
        <v>65913.48</v>
      </c>
      <c r="BY25" s="19">
        <f t="shared" ref="BY25" si="230">BX25/$BG25</f>
        <v>1.4458673978612557</v>
      </c>
      <c r="BZ25" s="19">
        <v>72944.72</v>
      </c>
      <c r="CA25" s="19">
        <f t="shared" ref="CA25" si="231">BZ25/$BG25</f>
        <v>1.600103537153825</v>
      </c>
      <c r="CB25" s="19">
        <f>SUM(CB26:CB29)</f>
        <v>74887.709999999992</v>
      </c>
      <c r="CC25" s="19">
        <f t="shared" ref="CC25" si="232">CB25/$BG25</f>
        <v>1.642724650397587</v>
      </c>
      <c r="CD25" s="19">
        <f>SUM(CD26:CD29)</f>
        <v>90318.079999999987</v>
      </c>
      <c r="CE25" s="19">
        <f t="shared" ref="CE25" si="233">CD25/$BG25</f>
        <v>1.9812027419797091</v>
      </c>
      <c r="CF25" s="19">
        <f>SUM(CF26:CF29)</f>
        <v>603428.89999999991</v>
      </c>
      <c r="CG25" s="56">
        <f t="shared" si="106"/>
        <v>1.1030598665569873</v>
      </c>
    </row>
    <row r="26" spans="1:85" ht="15.75" x14ac:dyDescent="0.25">
      <c r="A26" s="24" t="s">
        <v>18</v>
      </c>
      <c r="B26" s="25">
        <v>265261.875</v>
      </c>
      <c r="C26" s="26">
        <v>199177.25</v>
      </c>
      <c r="D26" s="26">
        <v>265569.66666666663</v>
      </c>
      <c r="E26" s="25">
        <v>278848.14999999997</v>
      </c>
      <c r="F26" s="25">
        <f>E26/12</f>
        <v>23237.345833333329</v>
      </c>
      <c r="G26" s="25"/>
      <c r="H26" s="58">
        <f t="shared" si="11"/>
        <v>0</v>
      </c>
      <c r="I26" s="25">
        <f>17625.36+2214.57+27000+1537.23</f>
        <v>48377.16</v>
      </c>
      <c r="J26" s="58">
        <f t="shared" si="12"/>
        <v>2.0818711546051145</v>
      </c>
      <c r="K26" s="25">
        <f>16349.59+3573.01+1274.33</f>
        <v>21196.93</v>
      </c>
      <c r="L26" s="58">
        <f t="shared" si="13"/>
        <v>0.91219238858138396</v>
      </c>
      <c r="M26" s="25">
        <f>15695.33+3573.01+749.55</f>
        <v>20017.89</v>
      </c>
      <c r="N26" s="58">
        <f t="shared" si="14"/>
        <v>0.8614533752510104</v>
      </c>
      <c r="O26" s="64">
        <f>15485.84+3573.01+762.7</f>
        <v>19821.55</v>
      </c>
      <c r="P26" s="58">
        <f t="shared" si="15"/>
        <v>0.85300404539173036</v>
      </c>
      <c r="Q26" s="64">
        <f>13881.19+3573.01+526</f>
        <v>17980.2</v>
      </c>
      <c r="R26" s="58">
        <f t="shared" si="47"/>
        <v>0.77376306782024573</v>
      </c>
      <c r="S26" s="64">
        <f>404.51</f>
        <v>404.51</v>
      </c>
      <c r="T26" s="58">
        <f t="shared" si="48"/>
        <v>1.7407754005181676E-2</v>
      </c>
      <c r="U26" s="64">
        <f>16698.5+1136.26+526</f>
        <v>18360.759999999998</v>
      </c>
      <c r="V26" s="58">
        <f t="shared" si="49"/>
        <v>0.7901401533415231</v>
      </c>
      <c r="W26" s="64">
        <f>18920.49+404.51+30000+439.29</f>
        <v>49764.29</v>
      </c>
      <c r="X26" s="58">
        <f t="shared" si="50"/>
        <v>2.1415651493474139</v>
      </c>
      <c r="Y26" s="25">
        <f t="shared" si="20"/>
        <v>195923.29</v>
      </c>
      <c r="Z26" s="58">
        <f t="shared" si="21"/>
        <v>0.70261642402863367</v>
      </c>
      <c r="AA26" s="25">
        <f t="shared" si="51"/>
        <v>21769.254444444447</v>
      </c>
      <c r="AB26" s="71">
        <v>25566</v>
      </c>
      <c r="AD26" s="69">
        <f t="shared" si="93"/>
        <v>1.1744086167601615</v>
      </c>
      <c r="AG26" s="25">
        <f>3197+32000</f>
        <v>35197</v>
      </c>
      <c r="AH26" s="58">
        <f t="shared" si="0"/>
        <v>1.3767112571383868</v>
      </c>
      <c r="AI26" s="25">
        <f>17037.35+16000+1419.6</f>
        <v>34456.949999999997</v>
      </c>
      <c r="AJ26" s="58">
        <f t="shared" ref="AJ26" si="234">AI26/$AB26</f>
        <v>1.3477646092466555</v>
      </c>
      <c r="AK26" s="25"/>
      <c r="AL26" s="58">
        <f t="shared" si="53"/>
        <v>0</v>
      </c>
      <c r="AM26" s="25">
        <f>16259.55+1756.76</f>
        <v>18016.309999999998</v>
      </c>
      <c r="AN26" s="58">
        <f t="shared" si="54"/>
        <v>0.70469803645466622</v>
      </c>
      <c r="AO26" s="25"/>
      <c r="AP26" s="58">
        <f t="shared" si="55"/>
        <v>0</v>
      </c>
      <c r="AQ26" s="25"/>
      <c r="AR26" s="58">
        <f t="shared" si="56"/>
        <v>0</v>
      </c>
      <c r="AS26" s="25"/>
      <c r="AT26" s="58">
        <f t="shared" si="57"/>
        <v>0</v>
      </c>
      <c r="AU26" s="25"/>
      <c r="AV26" s="58">
        <f t="shared" si="58"/>
        <v>0</v>
      </c>
      <c r="AW26" s="25">
        <f>3599</f>
        <v>3599</v>
      </c>
      <c r="AX26" s="58">
        <f t="shared" si="59"/>
        <v>0.14077290150981772</v>
      </c>
      <c r="AY26" s="25">
        <f>11159.1+2058.44</f>
        <v>13217.54</v>
      </c>
      <c r="AZ26" s="58">
        <f t="shared" si="60"/>
        <v>0.51699679261519205</v>
      </c>
      <c r="BA26" s="25">
        <f t="shared" si="31"/>
        <v>104486.79999999999</v>
      </c>
      <c r="BB26" s="58">
        <f t="shared" si="32"/>
        <v>0.34057863308039321</v>
      </c>
      <c r="BC26" s="25">
        <f t="shared" si="33"/>
        <v>11609.644444444442</v>
      </c>
      <c r="BD26" s="25">
        <f>AB26*BA1</f>
        <v>26588.639999999999</v>
      </c>
      <c r="BE26" s="25">
        <f t="shared" si="34"/>
        <v>319063.67999999999</v>
      </c>
      <c r="BF26" s="128">
        <f>315000*BC1</f>
        <v>330750</v>
      </c>
      <c r="BG26" s="128">
        <f t="shared" si="35"/>
        <v>27562.5</v>
      </c>
      <c r="BH26" s="71"/>
      <c r="BI26" s="140">
        <f t="shared" si="36"/>
        <v>0</v>
      </c>
      <c r="BJ26" s="71">
        <f>16304.35+3050.58</f>
        <v>19354.93</v>
      </c>
      <c r="BK26" s="58">
        <f t="shared" si="36"/>
        <v>0.70221968253968259</v>
      </c>
      <c r="BL26" s="25">
        <f>15575.19+2225.6</f>
        <v>17800.79</v>
      </c>
      <c r="BM26" s="58">
        <f t="shared" ref="BM26" si="235">BL26/$BG26</f>
        <v>0.64583365079365085</v>
      </c>
      <c r="BN26" s="25">
        <f>3654.06</f>
        <v>3654.06</v>
      </c>
      <c r="BO26" s="58">
        <f t="shared" ref="BO26" si="236">BN26/$BG26</f>
        <v>0.13257360544217686</v>
      </c>
      <c r="BP26" s="25">
        <f>16829.01+1462.64</f>
        <v>18291.649999999998</v>
      </c>
      <c r="BQ26" s="58">
        <f t="shared" ref="BQ26" si="237">BP26/$BG26</f>
        <v>0.66364263038548743</v>
      </c>
      <c r="BR26" s="25">
        <f>23573.09+4891.68</f>
        <v>28464.77</v>
      </c>
      <c r="BS26" s="58">
        <f t="shared" ref="BS26" si="238">BR26/$BG26</f>
        <v>1.0327354195011338</v>
      </c>
      <c r="BT26" s="25">
        <f>781</f>
        <v>781</v>
      </c>
      <c r="BU26" s="58">
        <f t="shared" ref="BU26" si="239">BT26/$BG26</f>
        <v>2.8335600907029478E-2</v>
      </c>
      <c r="BV26" s="25">
        <f>41168.21+9646.38</f>
        <v>50814.59</v>
      </c>
      <c r="BW26" s="58">
        <f t="shared" ref="BW26" si="240">BV26/$BG26</f>
        <v>1.8436132426303853</v>
      </c>
      <c r="BX26" s="25">
        <f>45017.59+11703.89</f>
        <v>56721.479999999996</v>
      </c>
      <c r="BY26" s="58">
        <f t="shared" ref="BY26" si="241">BX26/$BG26</f>
        <v>2.0579221768707483</v>
      </c>
      <c r="BZ26" s="71">
        <f>45260.97+11701.83</f>
        <v>56962.8</v>
      </c>
      <c r="CA26" s="58">
        <f t="shared" ref="CA26" si="242">BZ26/$BG26</f>
        <v>2.0666775510204083</v>
      </c>
      <c r="CB26" s="25">
        <f>42278.93+9697.58</f>
        <v>51976.51</v>
      </c>
      <c r="CC26" s="58">
        <f t="shared" ref="CC26" si="243">CB26/$BG26</f>
        <v>1.8857690702947847</v>
      </c>
      <c r="CD26" s="25">
        <f>37827.95+9399.46</f>
        <v>47227.409999999996</v>
      </c>
      <c r="CE26" s="58">
        <f t="shared" ref="CE26" si="244">CD26/$BG26</f>
        <v>1.7134661224489796</v>
      </c>
      <c r="CF26" s="25">
        <f t="shared" ref="CF26:CF29" si="245">BH26+BJ26+BL26+BN26+BP26+BR26+BT26+BV26+BX26+BZ26+CB26+CD26</f>
        <v>352049.98999999993</v>
      </c>
      <c r="CG26" s="58">
        <f t="shared" si="106"/>
        <v>1.0643990627362054</v>
      </c>
    </row>
    <row r="27" spans="1:85" ht="15.75" x14ac:dyDescent="0.25">
      <c r="A27" s="24" t="s">
        <v>19</v>
      </c>
      <c r="B27" s="25">
        <v>135018.59624999997</v>
      </c>
      <c r="C27" s="26">
        <v>70555.7</v>
      </c>
      <c r="D27" s="26">
        <v>94074.266666666663</v>
      </c>
      <c r="E27" s="25">
        <v>98777.98</v>
      </c>
      <c r="F27" s="25">
        <f t="shared" ref="F27:F29" si="246">E27/12</f>
        <v>8231.498333333333</v>
      </c>
      <c r="G27" s="25">
        <f>8177+1239</f>
        <v>9416</v>
      </c>
      <c r="H27" s="58">
        <f t="shared" si="11"/>
        <v>1.1438986705336553</v>
      </c>
      <c r="I27" s="25">
        <f>13719.4+2088</f>
        <v>15807.4</v>
      </c>
      <c r="J27" s="58">
        <f t="shared" si="12"/>
        <v>1.9203551236824239</v>
      </c>
      <c r="K27" s="25">
        <f>8049.8</f>
        <v>8049.8</v>
      </c>
      <c r="L27" s="58">
        <f t="shared" si="13"/>
        <v>0.97792645688846858</v>
      </c>
      <c r="M27" s="25">
        <f>7792.73+1239</f>
        <v>9031.73</v>
      </c>
      <c r="N27" s="58">
        <f t="shared" si="14"/>
        <v>1.0972157964760971</v>
      </c>
      <c r="O27" s="64">
        <f>12000.45</f>
        <v>12000.45</v>
      </c>
      <c r="P27" s="58">
        <f t="shared" si="15"/>
        <v>1.457869456330247</v>
      </c>
      <c r="Q27" s="64">
        <f>9706.59</f>
        <v>9706.59</v>
      </c>
      <c r="R27" s="58">
        <f t="shared" si="47"/>
        <v>1.1792008704774082</v>
      </c>
      <c r="S27" s="64">
        <f>3660+2354.1</f>
        <v>6014.1</v>
      </c>
      <c r="T27" s="58">
        <f t="shared" si="48"/>
        <v>0.73062032651406728</v>
      </c>
      <c r="U27" s="64">
        <f>7132.49+3979</f>
        <v>11111.49</v>
      </c>
      <c r="V27" s="58">
        <f t="shared" si="49"/>
        <v>1.349874536814784</v>
      </c>
      <c r="W27" s="64">
        <f>12100.01+2354.1</f>
        <v>14454.11</v>
      </c>
      <c r="X27" s="58">
        <f t="shared" si="50"/>
        <v>1.7559512757802904</v>
      </c>
      <c r="Y27" s="25">
        <f t="shared" si="20"/>
        <v>95591.670000000013</v>
      </c>
      <c r="Z27" s="58">
        <f t="shared" si="21"/>
        <v>0.96774270945812024</v>
      </c>
      <c r="AA27" s="25">
        <f t="shared" si="51"/>
        <v>10621.296666666669</v>
      </c>
      <c r="AB27" s="71">
        <v>12980</v>
      </c>
      <c r="AD27" s="69">
        <f t="shared" si="93"/>
        <v>1.2220730111734628</v>
      </c>
      <c r="AG27" s="25">
        <f>4555.2+2088</f>
        <v>6643.2</v>
      </c>
      <c r="AH27" s="58">
        <f t="shared" si="0"/>
        <v>0.51180277349768877</v>
      </c>
      <c r="AI27" s="25">
        <f>9050.05+9579</f>
        <v>18629.05</v>
      </c>
      <c r="AJ27" s="58">
        <f t="shared" ref="AJ27" si="247">AI27/$AB27</f>
        <v>1.4352118644067795</v>
      </c>
      <c r="AK27" s="25"/>
      <c r="AL27" s="58">
        <f t="shared" si="53"/>
        <v>0</v>
      </c>
      <c r="AM27" s="25">
        <f>9658.93+1813</f>
        <v>11471.93</v>
      </c>
      <c r="AN27" s="58">
        <f t="shared" si="54"/>
        <v>0.88381587057010791</v>
      </c>
      <c r="AO27" s="25"/>
      <c r="AP27" s="58">
        <f t="shared" si="55"/>
        <v>0</v>
      </c>
      <c r="AQ27" s="25"/>
      <c r="AR27" s="58">
        <f t="shared" si="56"/>
        <v>0</v>
      </c>
      <c r="AS27" s="25">
        <v>5412</v>
      </c>
      <c r="AT27" s="58">
        <f t="shared" si="57"/>
        <v>0.41694915254237286</v>
      </c>
      <c r="AU27" s="25">
        <v>902</v>
      </c>
      <c r="AV27" s="58">
        <f t="shared" si="58"/>
        <v>6.9491525423728814E-2</v>
      </c>
      <c r="AW27" s="25">
        <f>2511.5+1289</f>
        <v>3800.5</v>
      </c>
      <c r="AX27" s="58">
        <f t="shared" si="59"/>
        <v>0.29279661016949154</v>
      </c>
      <c r="AY27" s="25">
        <f>14143.6+10079.2</f>
        <v>24222.800000000003</v>
      </c>
      <c r="AZ27" s="58">
        <f t="shared" si="60"/>
        <v>1.8661633281972267</v>
      </c>
      <c r="BA27" s="25">
        <f t="shared" si="31"/>
        <v>71081.48000000001</v>
      </c>
      <c r="BB27" s="58">
        <f t="shared" si="32"/>
        <v>0.45635259373394971</v>
      </c>
      <c r="BC27" s="25">
        <f t="shared" si="33"/>
        <v>7897.9422222222238</v>
      </c>
      <c r="BD27" s="25">
        <f>AB27*BA1</f>
        <v>13499.2</v>
      </c>
      <c r="BE27" s="25">
        <f t="shared" si="34"/>
        <v>161990.40000000002</v>
      </c>
      <c r="BF27" s="128">
        <f>120000*BC1</f>
        <v>126000</v>
      </c>
      <c r="BG27" s="128">
        <f t="shared" si="35"/>
        <v>10500</v>
      </c>
      <c r="BH27" s="71">
        <v>7242.68</v>
      </c>
      <c r="BI27" s="140">
        <f t="shared" si="36"/>
        <v>0.68977904761904762</v>
      </c>
      <c r="BJ27" s="71">
        <f>14174.55+3548.6</f>
        <v>17723.149999999998</v>
      </c>
      <c r="BK27" s="58">
        <f t="shared" si="36"/>
        <v>1.6879190476190473</v>
      </c>
      <c r="BL27" s="25">
        <f>3992.11+3063</f>
        <v>7055.1100000000006</v>
      </c>
      <c r="BM27" s="58">
        <f t="shared" ref="BM27" si="248">BL27/$BG27</f>
        <v>0.67191523809523812</v>
      </c>
      <c r="BN27" s="25">
        <f>2615.34+948</f>
        <v>3563.34</v>
      </c>
      <c r="BO27" s="58">
        <f t="shared" ref="BO27" si="249">BN27/$BG27</f>
        <v>0.33936571428571433</v>
      </c>
      <c r="BP27" s="25">
        <f>8104.72+2901.6</f>
        <v>11006.32</v>
      </c>
      <c r="BQ27" s="58">
        <f t="shared" ref="BQ27" si="250">BP27/$BG27</f>
        <v>1.0482209523809523</v>
      </c>
      <c r="BR27" s="25">
        <f>5249.21+3548.6</f>
        <v>8797.81</v>
      </c>
      <c r="BS27" s="58">
        <f t="shared" ref="BS27" si="251">BR27/$BG27</f>
        <v>0.83788666666666667</v>
      </c>
      <c r="BT27" s="25">
        <f>980+948</f>
        <v>1928</v>
      </c>
      <c r="BU27" s="58">
        <f t="shared" ref="BU27" si="252">BT27/$BG27</f>
        <v>0.18361904761904763</v>
      </c>
      <c r="BV27" s="25">
        <f>9455.35+4635.2</f>
        <v>14090.55</v>
      </c>
      <c r="BW27" s="58">
        <f t="shared" ref="BW27" si="253">BV27/$BG27</f>
        <v>1.3419571428571428</v>
      </c>
      <c r="BX27" s="25">
        <f>6924.8+1990</f>
        <v>8914.7999999999993</v>
      </c>
      <c r="BY27" s="58">
        <f t="shared" ref="BY27" si="254">BX27/$BG27</f>
        <v>0.84902857142857135</v>
      </c>
      <c r="BZ27" s="71">
        <v>15369.279999999999</v>
      </c>
      <c r="CA27" s="58">
        <f t="shared" ref="CA27" si="255">BZ27/$BG27</f>
        <v>1.4637409523809524</v>
      </c>
      <c r="CB27" s="25">
        <f>7610.95</f>
        <v>7610.95</v>
      </c>
      <c r="CC27" s="58">
        <f t="shared" ref="CC27" si="256">CB27/$BG27</f>
        <v>0.72485238095238091</v>
      </c>
      <c r="CD27" s="25">
        <f>7535.49</f>
        <v>7535.49</v>
      </c>
      <c r="CE27" s="58">
        <f t="shared" ref="CE27" si="257">CD27/$BG27</f>
        <v>0.71766571428571424</v>
      </c>
      <c r="CF27" s="25">
        <f t="shared" si="245"/>
        <v>110837.48</v>
      </c>
      <c r="CG27" s="58">
        <f t="shared" si="106"/>
        <v>0.8796625396825396</v>
      </c>
    </row>
    <row r="28" spans="1:85" ht="15.75" x14ac:dyDescent="0.25">
      <c r="A28" s="24" t="s">
        <v>218</v>
      </c>
      <c r="B28" s="25"/>
      <c r="C28" s="26"/>
      <c r="D28" s="26"/>
      <c r="E28" s="25"/>
      <c r="F28" s="25"/>
      <c r="G28" s="25"/>
      <c r="H28" s="58"/>
      <c r="I28" s="25"/>
      <c r="J28" s="58"/>
      <c r="K28" s="25"/>
      <c r="L28" s="58"/>
      <c r="M28" s="25"/>
      <c r="N28" s="58"/>
      <c r="O28" s="64"/>
      <c r="P28" s="58"/>
      <c r="Q28" s="64"/>
      <c r="R28" s="58"/>
      <c r="S28" s="64"/>
      <c r="T28" s="58"/>
      <c r="U28" s="64"/>
      <c r="V28" s="58"/>
      <c r="W28" s="64"/>
      <c r="X28" s="58"/>
      <c r="Y28" s="25"/>
      <c r="Z28" s="58"/>
      <c r="AA28" s="25"/>
      <c r="AB28" s="71"/>
      <c r="AD28" s="69"/>
      <c r="AG28" s="25"/>
      <c r="AH28" s="58"/>
      <c r="AI28" s="25"/>
      <c r="AJ28" s="58"/>
      <c r="AK28" s="25"/>
      <c r="AL28" s="58"/>
      <c r="AM28" s="25"/>
      <c r="AN28" s="58"/>
      <c r="AO28" s="25"/>
      <c r="AP28" s="58"/>
      <c r="AQ28" s="25"/>
      <c r="AR28" s="58"/>
      <c r="AS28" s="25"/>
      <c r="AT28" s="58"/>
      <c r="AU28" s="25"/>
      <c r="AV28" s="58"/>
      <c r="AW28" s="25"/>
      <c r="AX28" s="58"/>
      <c r="AY28" s="25"/>
      <c r="AZ28" s="58"/>
      <c r="BA28" s="25"/>
      <c r="BB28" s="58"/>
      <c r="BC28" s="25"/>
      <c r="BD28" s="25"/>
      <c r="BE28" s="25"/>
      <c r="BF28" s="128">
        <f>11000*BC1</f>
        <v>11550</v>
      </c>
      <c r="BG28" s="128">
        <f t="shared" si="35"/>
        <v>962.5</v>
      </c>
      <c r="BH28" s="71">
        <v>630.20000000000005</v>
      </c>
      <c r="BI28" s="140">
        <f t="shared" si="36"/>
        <v>0.65475324675324675</v>
      </c>
      <c r="BJ28" s="71">
        <v>662</v>
      </c>
      <c r="BK28" s="58">
        <f t="shared" si="36"/>
        <v>0.68779220779220784</v>
      </c>
      <c r="BL28" s="25"/>
      <c r="BM28" s="58">
        <f t="shared" ref="BM28" si="258">BL28/$BG28</f>
        <v>0</v>
      </c>
      <c r="BN28" s="25">
        <v>254.1</v>
      </c>
      <c r="BO28" s="58">
        <f t="shared" ref="BO28" si="259">BN28/$BG28</f>
        <v>0.26400000000000001</v>
      </c>
      <c r="BP28" s="25">
        <v>315.5</v>
      </c>
      <c r="BQ28" s="58">
        <f t="shared" ref="BQ28" si="260">BP28/$BG28</f>
        <v>0.3277922077922078</v>
      </c>
      <c r="BR28" s="25">
        <v>373.25</v>
      </c>
      <c r="BS28" s="58">
        <f t="shared" ref="BS28" si="261">BR28/$BG28</f>
        <v>0.3877922077922078</v>
      </c>
      <c r="BT28" s="25">
        <v>404.25</v>
      </c>
      <c r="BU28" s="58">
        <f t="shared" ref="BU28" si="262">BT28/$BG28</f>
        <v>0.42</v>
      </c>
      <c r="BV28" s="25">
        <v>402.15</v>
      </c>
      <c r="BW28" s="58">
        <f t="shared" ref="BW28" si="263">BV28/$BG28</f>
        <v>0.41781818181818181</v>
      </c>
      <c r="BX28" s="25">
        <v>277.2</v>
      </c>
      <c r="BY28" s="58">
        <f t="shared" ref="BY28" si="264">BX28/$BG28</f>
        <v>0.28799999999999998</v>
      </c>
      <c r="BZ28" s="71">
        <v>46.2</v>
      </c>
      <c r="CA28" s="58">
        <f t="shared" ref="CA28" si="265">BZ28/$BG28</f>
        <v>4.8000000000000001E-2</v>
      </c>
      <c r="CB28" s="25">
        <v>950.25</v>
      </c>
      <c r="CC28" s="58">
        <f t="shared" ref="CC28" si="266">CB28/$BG28</f>
        <v>0.9872727272727273</v>
      </c>
      <c r="CD28" s="25">
        <f>415.8</f>
        <v>415.8</v>
      </c>
      <c r="CE28" s="58">
        <f t="shared" ref="CE28" si="267">CD28/$BG28</f>
        <v>0.432</v>
      </c>
      <c r="CF28" s="25">
        <f t="shared" si="245"/>
        <v>4730.9000000000005</v>
      </c>
      <c r="CG28" s="58">
        <f t="shared" si="106"/>
        <v>0.40960173160173163</v>
      </c>
    </row>
    <row r="29" spans="1:85" ht="15.75" x14ac:dyDescent="0.25">
      <c r="A29" s="27" t="s">
        <v>20</v>
      </c>
      <c r="B29" s="25">
        <v>56917.927500000005</v>
      </c>
      <c r="C29" s="26">
        <v>29121.8</v>
      </c>
      <c r="D29" s="26">
        <v>38829.066666666666</v>
      </c>
      <c r="E29" s="25">
        <v>40770.520000000004</v>
      </c>
      <c r="F29" s="25">
        <f t="shared" si="246"/>
        <v>3397.5433333333335</v>
      </c>
      <c r="G29" s="25">
        <v>28497.58</v>
      </c>
      <c r="H29" s="58">
        <f t="shared" si="11"/>
        <v>8.3877017021122118</v>
      </c>
      <c r="I29" s="25"/>
      <c r="J29" s="58">
        <f t="shared" si="12"/>
        <v>0</v>
      </c>
      <c r="K29" s="25"/>
      <c r="L29" s="58">
        <f t="shared" si="13"/>
        <v>0</v>
      </c>
      <c r="M29" s="25"/>
      <c r="N29" s="58">
        <f t="shared" si="14"/>
        <v>0</v>
      </c>
      <c r="O29" s="64">
        <v>1420</v>
      </c>
      <c r="P29" s="58">
        <f t="shared" si="15"/>
        <v>0.41794904749804512</v>
      </c>
      <c r="Q29" s="64">
        <v>5369</v>
      </c>
      <c r="R29" s="58">
        <f t="shared" si="47"/>
        <v>1.580259461983806</v>
      </c>
      <c r="S29" s="64">
        <v>9617</v>
      </c>
      <c r="T29" s="58">
        <f t="shared" si="48"/>
        <v>2.8305746406962675</v>
      </c>
      <c r="U29" s="64">
        <f>464</f>
        <v>464</v>
      </c>
      <c r="V29" s="58">
        <f t="shared" si="49"/>
        <v>0.13656926622471333</v>
      </c>
      <c r="W29" s="64">
        <v>3550.59</v>
      </c>
      <c r="X29" s="58">
        <f t="shared" si="50"/>
        <v>1.0450462736310451</v>
      </c>
      <c r="Y29" s="25">
        <f t="shared" si="20"/>
        <v>48918.17</v>
      </c>
      <c r="Z29" s="58">
        <f t="shared" si="21"/>
        <v>1.1998416993455072</v>
      </c>
      <c r="AA29" s="25">
        <f t="shared" si="51"/>
        <v>5435.3522222222218</v>
      </c>
      <c r="AB29" s="71">
        <v>5833</v>
      </c>
      <c r="AD29" s="69">
        <f t="shared" si="93"/>
        <v>1.073159523342758</v>
      </c>
      <c r="AG29" s="25">
        <v>19022.830000000002</v>
      </c>
      <c r="AH29" s="58">
        <f t="shared" si="0"/>
        <v>3.2612429281673241</v>
      </c>
      <c r="AI29" s="25"/>
      <c r="AJ29" s="58">
        <f t="shared" ref="AJ29" si="268">AI29/$AB29</f>
        <v>0</v>
      </c>
      <c r="AK29" s="25"/>
      <c r="AL29" s="58">
        <f t="shared" si="53"/>
        <v>0</v>
      </c>
      <c r="AM29" s="25"/>
      <c r="AN29" s="58">
        <f t="shared" si="54"/>
        <v>0</v>
      </c>
      <c r="AO29" s="25"/>
      <c r="AP29" s="58">
        <f t="shared" si="55"/>
        <v>0</v>
      </c>
      <c r="AQ29" s="25"/>
      <c r="AR29" s="58">
        <f t="shared" si="56"/>
        <v>0</v>
      </c>
      <c r="AS29" s="25"/>
      <c r="AT29" s="58">
        <f t="shared" si="57"/>
        <v>0</v>
      </c>
      <c r="AU29" s="25"/>
      <c r="AV29" s="58">
        <f t="shared" si="58"/>
        <v>0</v>
      </c>
      <c r="AW29" s="25"/>
      <c r="AX29" s="58">
        <f t="shared" si="59"/>
        <v>0</v>
      </c>
      <c r="AY29" s="25"/>
      <c r="AZ29" s="58">
        <f t="shared" si="60"/>
        <v>0</v>
      </c>
      <c r="BA29" s="25">
        <f t="shared" si="31"/>
        <v>19022.830000000002</v>
      </c>
      <c r="BB29" s="58">
        <f t="shared" si="32"/>
        <v>0.27177024401394367</v>
      </c>
      <c r="BC29" s="25">
        <f t="shared" si="33"/>
        <v>2113.6477777777782</v>
      </c>
      <c r="BD29" s="25">
        <f>AB29*BA1</f>
        <v>6066.3200000000006</v>
      </c>
      <c r="BE29" s="25">
        <f t="shared" si="34"/>
        <v>72795.840000000011</v>
      </c>
      <c r="BF29" s="128">
        <f>75000*BC1</f>
        <v>78750</v>
      </c>
      <c r="BG29" s="128">
        <f t="shared" si="35"/>
        <v>6562.5</v>
      </c>
      <c r="BH29" s="71">
        <v>25556.35</v>
      </c>
      <c r="BI29" s="140">
        <f t="shared" si="36"/>
        <v>3.8943009523809522</v>
      </c>
      <c r="BJ29" s="71">
        <v>522</v>
      </c>
      <c r="BK29" s="58">
        <f t="shared" si="36"/>
        <v>7.9542857142857137E-2</v>
      </c>
      <c r="BL29" s="25"/>
      <c r="BM29" s="58">
        <f t="shared" ref="BM29" si="269">BL29/$BG29</f>
        <v>0</v>
      </c>
      <c r="BN29" s="25"/>
      <c r="BO29" s="58">
        <f t="shared" ref="BO29" si="270">BN29/$BG29</f>
        <v>0</v>
      </c>
      <c r="BP29" s="25"/>
      <c r="BQ29" s="58">
        <f t="shared" ref="BQ29" si="271">BP29/$BG29</f>
        <v>0</v>
      </c>
      <c r="BR29" s="25">
        <v>16727.8</v>
      </c>
      <c r="BS29" s="58">
        <f t="shared" ref="BS29" si="272">BR29/$BG29</f>
        <v>2.5489980952380953</v>
      </c>
      <c r="BT29" s="25">
        <f>42208.5</f>
        <v>42208.5</v>
      </c>
      <c r="BU29" s="58">
        <f t="shared" ref="BU29" si="273">BT29/$BG29</f>
        <v>6.4317714285714285</v>
      </c>
      <c r="BV29" s="25">
        <v>1306.5</v>
      </c>
      <c r="BW29" s="58">
        <f t="shared" ref="BW29" si="274">BV29/$BG29</f>
        <v>0.19908571428571428</v>
      </c>
      <c r="BX29" s="25"/>
      <c r="BY29" s="58">
        <f t="shared" ref="BY29" si="275">BX29/$BG29</f>
        <v>0</v>
      </c>
      <c r="BZ29" s="71"/>
      <c r="CA29" s="58">
        <f t="shared" ref="CA29" si="276">BZ29/$BG29</f>
        <v>0</v>
      </c>
      <c r="CB29" s="25">
        <v>14350</v>
      </c>
      <c r="CC29" s="58">
        <f t="shared" ref="CC29" si="277">CB29/$BG29</f>
        <v>2.1866666666666665</v>
      </c>
      <c r="CD29" s="25">
        <v>35139.379999999997</v>
      </c>
      <c r="CE29" s="58">
        <f t="shared" ref="CE29" si="278">CD29/$BG29</f>
        <v>5.3545721904761905</v>
      </c>
      <c r="CF29" s="25">
        <f t="shared" si="245"/>
        <v>135810.53</v>
      </c>
      <c r="CG29" s="58">
        <f t="shared" si="106"/>
        <v>1.7245781587301587</v>
      </c>
    </row>
    <row r="30" spans="1:85" ht="15.75" x14ac:dyDescent="0.25">
      <c r="A30" s="18" t="s">
        <v>22</v>
      </c>
      <c r="B30" s="19">
        <v>50000</v>
      </c>
      <c r="C30" s="29">
        <v>37433.72</v>
      </c>
      <c r="D30" s="19">
        <v>49911.626666666671</v>
      </c>
      <c r="E30" s="19">
        <v>52407.208000000006</v>
      </c>
      <c r="F30" s="19">
        <f>E30/12</f>
        <v>4367.2673333333341</v>
      </c>
      <c r="G30" s="19">
        <f>G31</f>
        <v>5047.4699999999993</v>
      </c>
      <c r="H30" s="56">
        <f t="shared" si="11"/>
        <v>1.1557501784868978</v>
      </c>
      <c r="I30" s="19">
        <f>I31</f>
        <v>4232.6400000000003</v>
      </c>
      <c r="J30" s="56">
        <f t="shared" si="12"/>
        <v>0.96917355337838251</v>
      </c>
      <c r="K30" s="19">
        <f>K31</f>
        <v>4153.63</v>
      </c>
      <c r="L30" s="56">
        <f t="shared" si="13"/>
        <v>0.9510821488525012</v>
      </c>
      <c r="M30" s="19">
        <f>M31</f>
        <v>4797.79</v>
      </c>
      <c r="N30" s="56">
        <f t="shared" si="14"/>
        <v>1.0985794167855687</v>
      </c>
      <c r="O30" s="62">
        <f>O31</f>
        <v>4380.3200000000006</v>
      </c>
      <c r="P30" s="56">
        <f t="shared" si="15"/>
        <v>1.0029887491812195</v>
      </c>
      <c r="Q30" s="62">
        <f>Q31</f>
        <v>3557.6800000000003</v>
      </c>
      <c r="R30" s="56">
        <f t="shared" si="47"/>
        <v>0.81462382044851533</v>
      </c>
      <c r="S30" s="62">
        <f>S31</f>
        <v>3407.26</v>
      </c>
      <c r="T30" s="56">
        <f t="shared" si="48"/>
        <v>0.78018123003232676</v>
      </c>
      <c r="U30" s="62">
        <f>U31</f>
        <v>3477.94</v>
      </c>
      <c r="V30" s="56">
        <f t="shared" si="49"/>
        <v>0.79636526334316438</v>
      </c>
      <c r="W30" s="62">
        <f>W31</f>
        <v>3145.69</v>
      </c>
      <c r="X30" s="56">
        <f t="shared" si="50"/>
        <v>0.72028794207086921</v>
      </c>
      <c r="Y30" s="19">
        <f t="shared" si="20"/>
        <v>36200.420000000006</v>
      </c>
      <c r="Z30" s="56">
        <f t="shared" si="21"/>
        <v>0.69075269188162058</v>
      </c>
      <c r="AA30" s="19">
        <f t="shared" si="51"/>
        <v>4022.2688888888897</v>
      </c>
      <c r="AB30" s="19">
        <f>AB31</f>
        <v>2000</v>
      </c>
      <c r="AD30" s="69">
        <f t="shared" si="93"/>
        <v>0.49723180007303774</v>
      </c>
      <c r="AG30" s="19">
        <f>AG31</f>
        <v>3844.38</v>
      </c>
      <c r="AH30" s="56">
        <f t="shared" si="0"/>
        <v>1.9221900000000001</v>
      </c>
      <c r="AI30" s="19">
        <f>AI31</f>
        <v>6318.05</v>
      </c>
      <c r="AJ30" s="56">
        <f t="shared" ref="AJ30" si="279">AI30/$AB30</f>
        <v>3.1590250000000002</v>
      </c>
      <c r="AK30" s="19">
        <f>AK31</f>
        <v>0</v>
      </c>
      <c r="AL30" s="56">
        <f t="shared" si="53"/>
        <v>0</v>
      </c>
      <c r="AM30" s="19">
        <f>AM31</f>
        <v>1514.52</v>
      </c>
      <c r="AN30" s="56">
        <f t="shared" si="54"/>
        <v>0.75726000000000004</v>
      </c>
      <c r="AO30" s="19">
        <f>AO31</f>
        <v>4017.7300000000005</v>
      </c>
      <c r="AP30" s="56">
        <f t="shared" si="55"/>
        <v>2.0088650000000001</v>
      </c>
      <c r="AQ30" s="19">
        <f>AQ31</f>
        <v>2951.1200000000003</v>
      </c>
      <c r="AR30" s="56">
        <f t="shared" si="56"/>
        <v>1.4755600000000002</v>
      </c>
      <c r="AS30" s="19">
        <f>AS31</f>
        <v>4058.48</v>
      </c>
      <c r="AT30" s="56">
        <f t="shared" si="57"/>
        <v>2.0292400000000002</v>
      </c>
      <c r="AU30" s="19">
        <f>AU31</f>
        <v>3309.3500000000004</v>
      </c>
      <c r="AV30" s="56">
        <f t="shared" si="58"/>
        <v>1.6546750000000001</v>
      </c>
      <c r="AW30" s="19">
        <f>AW31</f>
        <v>7468.2000000000007</v>
      </c>
      <c r="AX30" s="56">
        <f t="shared" si="59"/>
        <v>3.7341000000000002</v>
      </c>
      <c r="AY30" s="19">
        <f>AY31</f>
        <v>4053.96</v>
      </c>
      <c r="AZ30" s="56">
        <f t="shared" si="60"/>
        <v>2.02698</v>
      </c>
      <c r="BA30" s="19">
        <f t="shared" si="31"/>
        <v>37535.79</v>
      </c>
      <c r="BB30" s="56">
        <f t="shared" si="32"/>
        <v>1.5639912499999999</v>
      </c>
      <c r="BC30" s="19">
        <f t="shared" si="33"/>
        <v>4170.6433333333334</v>
      </c>
      <c r="BD30" s="19">
        <f>BD31</f>
        <v>2080</v>
      </c>
      <c r="BE30" s="19">
        <f t="shared" si="34"/>
        <v>24960</v>
      </c>
      <c r="BF30" s="132">
        <f>BF31</f>
        <v>25000</v>
      </c>
      <c r="BG30" s="132">
        <f t="shared" si="35"/>
        <v>2083.3333333333335</v>
      </c>
      <c r="BH30" s="19">
        <f>BH31</f>
        <v>6732.42</v>
      </c>
      <c r="BI30" s="56">
        <f t="shared" si="36"/>
        <v>3.2315615999999996</v>
      </c>
      <c r="BJ30" s="19">
        <f>BJ31</f>
        <v>4848.96</v>
      </c>
      <c r="BK30" s="56">
        <f t="shared" si="36"/>
        <v>2.3275007999999997</v>
      </c>
      <c r="BL30" s="19">
        <f>BL31</f>
        <v>4039.89</v>
      </c>
      <c r="BM30" s="56">
        <f t="shared" ref="BM30" si="280">BL30/$BG30</f>
        <v>1.9391471999999998</v>
      </c>
      <c r="BN30" s="19">
        <f>BN31</f>
        <v>3936.21</v>
      </c>
      <c r="BO30" s="56">
        <f t="shared" ref="BO30" si="281">BN30/$BG30</f>
        <v>1.8893807999999999</v>
      </c>
      <c r="BP30" s="19">
        <f>BP31</f>
        <v>10122.119999999999</v>
      </c>
      <c r="BQ30" s="56">
        <f t="shared" ref="BQ30" si="282">BP30/$BG30</f>
        <v>4.8586175999999988</v>
      </c>
      <c r="BR30" s="19">
        <f>BR31</f>
        <v>7093.88</v>
      </c>
      <c r="BS30" s="56">
        <f t="shared" ref="BS30" si="283">BR30/$BG30</f>
        <v>3.4050623999999998</v>
      </c>
      <c r="BT30" s="19">
        <f>BT31</f>
        <v>8091.96</v>
      </c>
      <c r="BU30" s="56">
        <f t="shared" ref="BU30" si="284">BT30/$BG30</f>
        <v>3.8841407999999999</v>
      </c>
      <c r="BV30" s="19">
        <f>BV31</f>
        <v>8872.6</v>
      </c>
      <c r="BW30" s="56">
        <f t="shared" ref="BW30" si="285">BV30/$BG30</f>
        <v>4.2588479999999995</v>
      </c>
      <c r="BX30" s="19">
        <f>BX31</f>
        <v>10797.1</v>
      </c>
      <c r="BY30" s="56">
        <f t="shared" ref="BY30" si="286">BX30/$BG30</f>
        <v>5.1826080000000001</v>
      </c>
      <c r="BZ30" s="19">
        <v>10660.82</v>
      </c>
      <c r="CA30" s="56">
        <f t="shared" ref="CA30" si="287">BZ30/$BG30</f>
        <v>5.1171935999999993</v>
      </c>
      <c r="CB30" s="19">
        <f>CB31</f>
        <v>11710.24</v>
      </c>
      <c r="CC30" s="56">
        <f t="shared" ref="CC30" si="288">CB30/$BG30</f>
        <v>5.6209151999999998</v>
      </c>
      <c r="CD30" s="19">
        <f>CD31</f>
        <v>10010.94</v>
      </c>
      <c r="CE30" s="56">
        <f t="shared" ref="CE30" si="289">CD30/$BG30</f>
        <v>4.8052511999999998</v>
      </c>
      <c r="CF30" s="19">
        <f>CF31</f>
        <v>96917.14</v>
      </c>
      <c r="CG30" s="56">
        <f t="shared" si="106"/>
        <v>3.8766856000000001</v>
      </c>
    </row>
    <row r="31" spans="1:85" ht="15.75" x14ac:dyDescent="0.25">
      <c r="A31" s="31" t="s">
        <v>23</v>
      </c>
      <c r="B31" s="25">
        <v>50000</v>
      </c>
      <c r="C31" s="26">
        <v>37433.72</v>
      </c>
      <c r="D31" s="26">
        <v>49911.626666666671</v>
      </c>
      <c r="E31" s="25">
        <v>52407.208000000006</v>
      </c>
      <c r="F31" s="25">
        <f t="shared" ref="F31:F108" si="290">E31/12</f>
        <v>4367.2673333333341</v>
      </c>
      <c r="G31" s="25">
        <f>4072.66+735.7+239.11</f>
        <v>5047.4699999999993</v>
      </c>
      <c r="H31" s="58">
        <f t="shared" si="11"/>
        <v>1.1557501784868978</v>
      </c>
      <c r="I31" s="25">
        <f>3446.6+1.02+524.26+260.76</f>
        <v>4232.6400000000003</v>
      </c>
      <c r="J31" s="58">
        <f t="shared" si="12"/>
        <v>0.96917355337838251</v>
      </c>
      <c r="K31" s="25">
        <v>4153.63</v>
      </c>
      <c r="L31" s="58">
        <f t="shared" si="13"/>
        <v>0.9510821488525012</v>
      </c>
      <c r="M31" s="25">
        <f>3479.37+725.65+327.43+265.34</f>
        <v>4797.79</v>
      </c>
      <c r="N31" s="58">
        <f t="shared" si="14"/>
        <v>1.0985794167855687</v>
      </c>
      <c r="O31" s="64">
        <f>3490.42+0.01+636.93+252.96</f>
        <v>4380.3200000000006</v>
      </c>
      <c r="P31" s="58">
        <f t="shared" si="15"/>
        <v>1.0029887491812195</v>
      </c>
      <c r="Q31" s="64">
        <f>2986.06+429.34+142.28</f>
        <v>3557.6800000000003</v>
      </c>
      <c r="R31" s="58">
        <f t="shared" si="47"/>
        <v>0.81462382044851533</v>
      </c>
      <c r="S31" s="64">
        <f>2790.55+67.48+334.46+214.77</f>
        <v>3407.26</v>
      </c>
      <c r="T31" s="58">
        <f t="shared" si="48"/>
        <v>0.78018123003232676</v>
      </c>
      <c r="U31" s="64">
        <f>2338.02+854.86+285.06</f>
        <v>3477.94</v>
      </c>
      <c r="V31" s="58">
        <f t="shared" si="49"/>
        <v>0.79636526334316438</v>
      </c>
      <c r="W31" s="64">
        <f>1909.79+137.25+735.71+362.94</f>
        <v>3145.69</v>
      </c>
      <c r="X31" s="58">
        <f t="shared" si="50"/>
        <v>0.72028794207086921</v>
      </c>
      <c r="Y31" s="25">
        <f t="shared" si="20"/>
        <v>36200.420000000006</v>
      </c>
      <c r="Z31" s="58">
        <f t="shared" si="21"/>
        <v>0.69075269188162058</v>
      </c>
      <c r="AA31" s="25">
        <f t="shared" si="51"/>
        <v>4022.2688888888897</v>
      </c>
      <c r="AB31" s="71">
        <v>2000</v>
      </c>
      <c r="AD31" s="69">
        <f t="shared" si="93"/>
        <v>0.49723180007303774</v>
      </c>
      <c r="AE31" t="s">
        <v>139</v>
      </c>
      <c r="AG31" s="25">
        <f>1645.55+2198.83</f>
        <v>3844.38</v>
      </c>
      <c r="AH31" s="58">
        <f t="shared" si="0"/>
        <v>1.9221900000000001</v>
      </c>
      <c r="AI31" s="25">
        <f>5610.75+151.88+555.42</f>
        <v>6318.05</v>
      </c>
      <c r="AJ31" s="58">
        <f t="shared" ref="AJ31" si="291">AI31/$AB31</f>
        <v>3.1590250000000002</v>
      </c>
      <c r="AK31" s="25"/>
      <c r="AL31" s="58">
        <f t="shared" si="53"/>
        <v>0</v>
      </c>
      <c r="AM31" s="25">
        <f>970.64+543.88</f>
        <v>1514.52</v>
      </c>
      <c r="AN31" s="58">
        <f t="shared" si="54"/>
        <v>0.75726000000000004</v>
      </c>
      <c r="AO31" s="25">
        <f>2737.01+611.46+669.26</f>
        <v>4017.7300000000005</v>
      </c>
      <c r="AP31" s="58">
        <f t="shared" si="55"/>
        <v>2.0088650000000001</v>
      </c>
      <c r="AQ31" s="25">
        <f>2845.61+105.51</f>
        <v>2951.1200000000003</v>
      </c>
      <c r="AR31" s="58">
        <f t="shared" si="56"/>
        <v>1.4755600000000002</v>
      </c>
      <c r="AS31" s="25">
        <f>3477.33+581.15</f>
        <v>4058.48</v>
      </c>
      <c r="AT31" s="58">
        <f t="shared" si="57"/>
        <v>2.0292400000000002</v>
      </c>
      <c r="AU31" s="25">
        <f>2862.28+447.07</f>
        <v>3309.3500000000004</v>
      </c>
      <c r="AV31" s="58">
        <f t="shared" si="58"/>
        <v>1.6546750000000001</v>
      </c>
      <c r="AW31" s="25">
        <f>2279.42+4181.89+1006.89</f>
        <v>7468.2000000000007</v>
      </c>
      <c r="AX31" s="58">
        <f t="shared" si="59"/>
        <v>3.7341000000000002</v>
      </c>
      <c r="AY31" s="25">
        <f>2341.37+1712.59</f>
        <v>4053.96</v>
      </c>
      <c r="AZ31" s="58">
        <f t="shared" si="60"/>
        <v>2.02698</v>
      </c>
      <c r="BA31" s="25">
        <f t="shared" si="31"/>
        <v>37535.79</v>
      </c>
      <c r="BB31" s="58">
        <f t="shared" si="32"/>
        <v>1.5639912499999999</v>
      </c>
      <c r="BC31" s="25">
        <f t="shared" si="33"/>
        <v>4170.6433333333334</v>
      </c>
      <c r="BD31" s="25">
        <f>AB31*BA1</f>
        <v>2080</v>
      </c>
      <c r="BE31" s="25">
        <f t="shared" si="34"/>
        <v>24960</v>
      </c>
      <c r="BF31" s="128">
        <v>25000</v>
      </c>
      <c r="BG31" s="128">
        <f t="shared" si="35"/>
        <v>2083.3333333333335</v>
      </c>
      <c r="BH31" s="25">
        <f>5400.2+1175.15+157.07</f>
        <v>6732.42</v>
      </c>
      <c r="BI31" s="58">
        <f t="shared" si="36"/>
        <v>3.2315615999999996</v>
      </c>
      <c r="BJ31" s="25">
        <f>3485.23+1363.73</f>
        <v>4848.96</v>
      </c>
      <c r="BK31" s="58">
        <f t="shared" si="36"/>
        <v>2.3275007999999997</v>
      </c>
      <c r="BL31" s="25">
        <v>4039.89</v>
      </c>
      <c r="BM31" s="58">
        <f t="shared" ref="BM31" si="292">BL31/$BG31</f>
        <v>1.9391471999999998</v>
      </c>
      <c r="BN31" s="25">
        <f>3936.21</f>
        <v>3936.21</v>
      </c>
      <c r="BO31" s="58">
        <f t="shared" ref="BO31" si="293">BN31/$BG31</f>
        <v>1.8893807999999999</v>
      </c>
      <c r="BP31" s="25">
        <f>8766.88+1355.24</f>
        <v>10122.119999999999</v>
      </c>
      <c r="BQ31" s="58">
        <f t="shared" ref="BQ31" si="294">BP31/$BG31</f>
        <v>4.8586175999999988</v>
      </c>
      <c r="BR31" s="25">
        <v>7093.88</v>
      </c>
      <c r="BS31" s="58">
        <f t="shared" ref="BS31" si="295">BR31/$BG31</f>
        <v>3.4050623999999998</v>
      </c>
      <c r="BT31" s="25">
        <v>8091.96</v>
      </c>
      <c r="BU31" s="58">
        <f t="shared" ref="BU31" si="296">BT31/$BG31</f>
        <v>3.8841407999999999</v>
      </c>
      <c r="BV31" s="25">
        <v>8872.6</v>
      </c>
      <c r="BW31" s="58">
        <f t="shared" ref="BW31" si="297">BV31/$BG31</f>
        <v>4.2588479999999995</v>
      </c>
      <c r="BX31" s="25">
        <v>10797.1</v>
      </c>
      <c r="BY31" s="58">
        <f t="shared" ref="BY31" si="298">BX31/$BG31</f>
        <v>5.1826080000000001</v>
      </c>
      <c r="BZ31" s="71">
        <v>10660.82</v>
      </c>
      <c r="CA31" s="58">
        <f t="shared" ref="CA31" si="299">BZ31/$BG31</f>
        <v>5.1171935999999993</v>
      </c>
      <c r="CB31" s="25">
        <v>11710.24</v>
      </c>
      <c r="CC31" s="58">
        <f t="shared" ref="CC31" si="300">CB31/$BG31</f>
        <v>5.6209151999999998</v>
      </c>
      <c r="CD31" s="25">
        <v>10010.94</v>
      </c>
      <c r="CE31" s="58">
        <f t="shared" ref="CE31" si="301">CD31/$BG31</f>
        <v>4.8052511999999998</v>
      </c>
      <c r="CF31" s="25">
        <f>BH31+BJ31+BL31+BN31+BP31+BR31+BT31+BV31+BX31+BZ31+CB31+CD31</f>
        <v>96917.14</v>
      </c>
      <c r="CG31" s="58">
        <f t="shared" si="106"/>
        <v>3.8766856000000001</v>
      </c>
    </row>
    <row r="32" spans="1:85" ht="15.75" x14ac:dyDescent="0.25">
      <c r="A32" s="18" t="s">
        <v>24</v>
      </c>
      <c r="B32" s="19">
        <v>597698.79119999986</v>
      </c>
      <c r="C32" s="19">
        <v>496834.08999999997</v>
      </c>
      <c r="D32" s="19">
        <v>662445.45333333337</v>
      </c>
      <c r="E32" s="19">
        <v>678988.72599999991</v>
      </c>
      <c r="F32" s="19">
        <f t="shared" si="290"/>
        <v>56582.393833333328</v>
      </c>
      <c r="G32" s="19">
        <f>SUM(G33:G36)</f>
        <v>8008.2</v>
      </c>
      <c r="H32" s="56">
        <f t="shared" si="11"/>
        <v>0.14153165777306295</v>
      </c>
      <c r="I32" s="19">
        <f>SUM(I33:I36)</f>
        <v>21923.11</v>
      </c>
      <c r="J32" s="56">
        <f t="shared" si="12"/>
        <v>0.38745462174286532</v>
      </c>
      <c r="K32" s="19">
        <f>SUM(K33:K36)</f>
        <v>19389.900000000001</v>
      </c>
      <c r="L32" s="56">
        <f t="shared" si="13"/>
        <v>0.34268433493842732</v>
      </c>
      <c r="M32" s="19">
        <f>SUM(M33:M36)</f>
        <v>61025</v>
      </c>
      <c r="N32" s="56">
        <f t="shared" si="14"/>
        <v>1.0785156983593276</v>
      </c>
      <c r="O32" s="62">
        <f>SUM(O33:O36)</f>
        <v>60955</v>
      </c>
      <c r="P32" s="56">
        <f t="shared" si="15"/>
        <v>1.0772785644161049</v>
      </c>
      <c r="Q32" s="62">
        <f>SUM(Q33:Q36)</f>
        <v>31710</v>
      </c>
      <c r="R32" s="56">
        <f t="shared" si="47"/>
        <v>0.56042167627979145</v>
      </c>
      <c r="S32" s="62">
        <f>SUM(S33:S36)</f>
        <v>12405</v>
      </c>
      <c r="T32" s="56">
        <f t="shared" si="48"/>
        <v>0.21923780808107263</v>
      </c>
      <c r="U32" s="62">
        <f>SUM(U33:U36)</f>
        <v>49885</v>
      </c>
      <c r="V32" s="56">
        <f t="shared" si="49"/>
        <v>0.88163466796649004</v>
      </c>
      <c r="W32" s="62">
        <f>SUM(W33:W36)</f>
        <v>21935</v>
      </c>
      <c r="X32" s="56">
        <f t="shared" si="50"/>
        <v>0.3876647577797927</v>
      </c>
      <c r="Y32" s="19">
        <f t="shared" si="20"/>
        <v>287236.21000000002</v>
      </c>
      <c r="Z32" s="56">
        <f t="shared" si="21"/>
        <v>0.42303531561141128</v>
      </c>
      <c r="AA32" s="19">
        <f t="shared" si="51"/>
        <v>31915.134444444448</v>
      </c>
      <c r="AB32" s="19">
        <f>SUM(AB33:AB36)</f>
        <v>26945.985155555558</v>
      </c>
      <c r="AD32" s="69"/>
      <c r="AG32" s="19">
        <f>SUM(AG33:AG36)</f>
        <v>50868.24</v>
      </c>
      <c r="AH32" s="56">
        <f t="shared" si="0"/>
        <v>1.8877854977780353</v>
      </c>
      <c r="AI32" s="19">
        <f>SUM(AI33:AI36)</f>
        <v>94355.76</v>
      </c>
      <c r="AJ32" s="56">
        <f t="shared" ref="AJ32" si="302">AI32/$AB32</f>
        <v>3.5016630290299964</v>
      </c>
      <c r="AK32" s="19">
        <f>SUM(AK33:AK36)</f>
        <v>0</v>
      </c>
      <c r="AL32" s="56">
        <f t="shared" si="53"/>
        <v>0</v>
      </c>
      <c r="AM32" s="19">
        <f>SUM(AM33:AM36)</f>
        <v>12059.6</v>
      </c>
      <c r="AN32" s="56">
        <f t="shared" si="54"/>
        <v>0.44754719229531031</v>
      </c>
      <c r="AO32" s="19">
        <f>SUM(AO33:AO36)</f>
        <v>0</v>
      </c>
      <c r="AP32" s="56">
        <f t="shared" si="55"/>
        <v>0</v>
      </c>
      <c r="AQ32" s="19">
        <f>SUM(AQ33:AQ36)</f>
        <v>0</v>
      </c>
      <c r="AR32" s="56">
        <f t="shared" si="56"/>
        <v>0</v>
      </c>
      <c r="AS32" s="19">
        <f>SUM(AS33:AS36)</f>
        <v>0</v>
      </c>
      <c r="AT32" s="56">
        <f t="shared" si="57"/>
        <v>0</v>
      </c>
      <c r="AU32" s="19">
        <f>SUM(AU33:AU36)</f>
        <v>0</v>
      </c>
      <c r="AV32" s="56">
        <f t="shared" si="58"/>
        <v>0</v>
      </c>
      <c r="AW32" s="19">
        <f>SUM(AW33:AW36)</f>
        <v>8000</v>
      </c>
      <c r="AX32" s="56">
        <f t="shared" si="59"/>
        <v>0.29689024000484943</v>
      </c>
      <c r="AY32" s="19">
        <f>SUM(AY33:AY36)</f>
        <v>12348</v>
      </c>
      <c r="AZ32" s="56">
        <f t="shared" si="60"/>
        <v>0.45825008544748513</v>
      </c>
      <c r="BA32" s="19">
        <f t="shared" si="31"/>
        <v>177631.6</v>
      </c>
      <c r="BB32" s="56">
        <f t="shared" si="32"/>
        <v>0.54934467037963985</v>
      </c>
      <c r="BC32" s="19">
        <f t="shared" si="33"/>
        <v>19736.844444444447</v>
      </c>
      <c r="BD32" s="19">
        <f>SUM(BD33:BD36)</f>
        <v>33985.157895111115</v>
      </c>
      <c r="BE32" s="19">
        <f t="shared" si="34"/>
        <v>407821.89474133338</v>
      </c>
      <c r="BF32" s="132">
        <f>SUM(BF33:BF36)</f>
        <v>381751</v>
      </c>
      <c r="BG32" s="132">
        <f t="shared" si="35"/>
        <v>31812.583333333332</v>
      </c>
      <c r="BH32" s="19">
        <f>SUM(BH33:BH36)</f>
        <v>98500.23</v>
      </c>
      <c r="BI32" s="56">
        <f t="shared" si="36"/>
        <v>3.0962663097149714</v>
      </c>
      <c r="BJ32" s="19">
        <f>SUM(BJ33:BJ36)</f>
        <v>37720.699999999997</v>
      </c>
      <c r="BK32" s="56">
        <f t="shared" si="36"/>
        <v>1.1857163438995575</v>
      </c>
      <c r="BL32" s="19">
        <f>SUM(BL33:BL36)</f>
        <v>19318.97</v>
      </c>
      <c r="BM32" s="56">
        <f t="shared" ref="BM32" si="303">BL32/$BG32</f>
        <v>0.60727447996206962</v>
      </c>
      <c r="BN32" s="19">
        <f>SUM(BN33:BN36)</f>
        <v>5322.2300000000005</v>
      </c>
      <c r="BO32" s="56">
        <f t="shared" ref="BO32" si="304">BN32/$BG32</f>
        <v>0.16729952246359539</v>
      </c>
      <c r="BP32" s="19">
        <f>SUM(BP33:BP36)</f>
        <v>11364.3</v>
      </c>
      <c r="BQ32" s="56">
        <f t="shared" ref="BQ32" si="305">BP32/$BG32</f>
        <v>0.35722656915109585</v>
      </c>
      <c r="BR32" s="19">
        <f>SUM(BR33:BR36)</f>
        <v>29274.799999999999</v>
      </c>
      <c r="BS32" s="56">
        <f t="shared" ref="BS32" si="306">BR32/$BG32</f>
        <v>0.92022705899919055</v>
      </c>
      <c r="BT32" s="19">
        <f>SUM(BT33:BT36)</f>
        <v>13492.949999999999</v>
      </c>
      <c r="BU32" s="56">
        <f t="shared" ref="BU32" si="307">BT32/$BG32</f>
        <v>0.42413877108376924</v>
      </c>
      <c r="BV32" s="19">
        <f>SUM(BV33:BV36)</f>
        <v>8473.630000000001</v>
      </c>
      <c r="BW32" s="56">
        <f t="shared" ref="BW32" si="308">BV32/$BG32</f>
        <v>0.26636095255808112</v>
      </c>
      <c r="BX32" s="19">
        <f>SUM(BX33:BX36)</f>
        <v>69923.31</v>
      </c>
      <c r="BY32" s="56">
        <f t="shared" ref="BY32" si="309">BX32/$BG32</f>
        <v>2.1979764820524372</v>
      </c>
      <c r="BZ32" s="19">
        <v>41915.31</v>
      </c>
      <c r="CA32" s="56">
        <f t="shared" ref="CA32" si="310">BZ32/$BG32</f>
        <v>1.3175701438896035</v>
      </c>
      <c r="CB32" s="19">
        <f>SUM(CB33:CB36)</f>
        <v>64171.31</v>
      </c>
      <c r="CC32" s="56">
        <f t="shared" ref="CC32" si="311">CB32/$BG32</f>
        <v>2.0171675254288792</v>
      </c>
      <c r="CD32" s="19">
        <f>SUM(CD33:CD36)</f>
        <v>73867.259999999995</v>
      </c>
      <c r="CE32" s="56">
        <f t="shared" ref="CE32" si="312">CD32/$BG32</f>
        <v>2.3219510099515128</v>
      </c>
      <c r="CF32" s="19">
        <f>SUM(CF33:CF36)</f>
        <v>473345</v>
      </c>
      <c r="CG32" s="56">
        <f t="shared" si="106"/>
        <v>1.2399312640962303</v>
      </c>
    </row>
    <row r="33" spans="1:85" ht="15.75" x14ac:dyDescent="0.25">
      <c r="A33" s="32" t="s">
        <v>25</v>
      </c>
      <c r="B33" s="25">
        <v>72000</v>
      </c>
      <c r="C33" s="26">
        <v>93800</v>
      </c>
      <c r="D33" s="26">
        <v>125066.66666666667</v>
      </c>
      <c r="E33" s="25">
        <v>126000</v>
      </c>
      <c r="F33" s="25">
        <f t="shared" si="290"/>
        <v>10500</v>
      </c>
      <c r="G33" s="25"/>
      <c r="H33" s="58">
        <f t="shared" si="11"/>
        <v>0</v>
      </c>
      <c r="I33" s="25">
        <v>6000</v>
      </c>
      <c r="J33" s="58">
        <f t="shared" si="12"/>
        <v>0.5714285714285714</v>
      </c>
      <c r="K33" s="25">
        <v>6000</v>
      </c>
      <c r="L33" s="58">
        <f t="shared" si="13"/>
        <v>0.5714285714285714</v>
      </c>
      <c r="M33" s="25"/>
      <c r="N33" s="58">
        <f t="shared" si="14"/>
        <v>0</v>
      </c>
      <c r="O33" s="64">
        <v>24000</v>
      </c>
      <c r="P33" s="58">
        <f t="shared" si="15"/>
        <v>2.2857142857142856</v>
      </c>
      <c r="Q33" s="64">
        <v>18000</v>
      </c>
      <c r="R33" s="58">
        <f t="shared" si="47"/>
        <v>1.7142857142857142</v>
      </c>
      <c r="S33" s="64">
        <v>6000</v>
      </c>
      <c r="T33" s="58">
        <f t="shared" si="48"/>
        <v>0.5714285714285714</v>
      </c>
      <c r="U33" s="64">
        <v>18000</v>
      </c>
      <c r="V33" s="58">
        <f t="shared" si="49"/>
        <v>1.7142857142857142</v>
      </c>
      <c r="W33" s="64">
        <v>6000</v>
      </c>
      <c r="X33" s="58">
        <f t="shared" si="50"/>
        <v>0.5714285714285714</v>
      </c>
      <c r="Y33" s="25">
        <f t="shared" si="20"/>
        <v>84000</v>
      </c>
      <c r="Z33" s="58">
        <f t="shared" si="21"/>
        <v>0.66666666666666663</v>
      </c>
      <c r="AA33" s="25">
        <f t="shared" si="51"/>
        <v>9333.3333333333339</v>
      </c>
      <c r="AB33" s="71">
        <v>10000</v>
      </c>
      <c r="AD33" s="69"/>
      <c r="AE33" t="s">
        <v>161</v>
      </c>
      <c r="AG33" s="25">
        <v>30000</v>
      </c>
      <c r="AH33" s="58">
        <f t="shared" si="0"/>
        <v>3</v>
      </c>
      <c r="AI33" s="25">
        <v>52000</v>
      </c>
      <c r="AJ33" s="58">
        <f t="shared" ref="AJ33" si="313">AI33/$AB33</f>
        <v>5.2</v>
      </c>
      <c r="AK33" s="25"/>
      <c r="AL33" s="58">
        <f t="shared" si="53"/>
        <v>0</v>
      </c>
      <c r="AM33" s="25">
        <v>6000</v>
      </c>
      <c r="AN33" s="58">
        <f t="shared" si="54"/>
        <v>0.6</v>
      </c>
      <c r="AO33" s="25"/>
      <c r="AP33" s="58">
        <f t="shared" si="55"/>
        <v>0</v>
      </c>
      <c r="AQ33" s="25"/>
      <c r="AR33" s="58">
        <f t="shared" si="56"/>
        <v>0</v>
      </c>
      <c r="AS33" s="25"/>
      <c r="AT33" s="58">
        <f t="shared" si="57"/>
        <v>0</v>
      </c>
      <c r="AU33" s="25"/>
      <c r="AV33" s="58">
        <f t="shared" si="58"/>
        <v>0</v>
      </c>
      <c r="AW33" s="25">
        <v>8000</v>
      </c>
      <c r="AX33" s="58">
        <f t="shared" si="59"/>
        <v>0.8</v>
      </c>
      <c r="AY33" s="25"/>
      <c r="AZ33" s="58">
        <f t="shared" si="60"/>
        <v>0</v>
      </c>
      <c r="BA33" s="25">
        <f t="shared" si="31"/>
        <v>96000</v>
      </c>
      <c r="BB33" s="58">
        <f t="shared" si="32"/>
        <v>0.8</v>
      </c>
      <c r="BC33" s="25">
        <f t="shared" si="33"/>
        <v>10666.666666666666</v>
      </c>
      <c r="BD33" s="25">
        <f>(20000*10)/12</f>
        <v>16666.666666666668</v>
      </c>
      <c r="BE33" s="25">
        <f t="shared" si="34"/>
        <v>200000</v>
      </c>
      <c r="BF33" s="128">
        <f>Mensalidades!K15</f>
        <v>180000</v>
      </c>
      <c r="BG33" s="128">
        <f t="shared" si="35"/>
        <v>15000</v>
      </c>
      <c r="BH33" s="71">
        <v>68800</v>
      </c>
      <c r="BI33" s="140">
        <f t="shared" si="36"/>
        <v>4.5866666666666669</v>
      </c>
      <c r="BJ33" s="71">
        <v>20000</v>
      </c>
      <c r="BK33" s="58">
        <f t="shared" si="36"/>
        <v>1.3333333333333333</v>
      </c>
      <c r="BL33" s="25">
        <v>14000</v>
      </c>
      <c r="BM33" s="58">
        <f t="shared" ref="BM33" si="314">BL33/$BG33</f>
        <v>0.93333333333333335</v>
      </c>
      <c r="BN33" s="25"/>
      <c r="BO33" s="58">
        <f t="shared" ref="BO33" si="315">BN33/$BG33</f>
        <v>0</v>
      </c>
      <c r="BP33" s="25"/>
      <c r="BQ33" s="58">
        <f t="shared" ref="BQ33" si="316">BP33/$BG33</f>
        <v>0</v>
      </c>
      <c r="BR33" s="25">
        <v>20000</v>
      </c>
      <c r="BS33" s="58">
        <f t="shared" ref="BS33" si="317">BR33/$BG33</f>
        <v>1.3333333333333333</v>
      </c>
      <c r="BT33" s="25"/>
      <c r="BU33" s="58">
        <f t="shared" ref="BU33" si="318">BT33/$BG33</f>
        <v>0</v>
      </c>
      <c r="BV33" s="25"/>
      <c r="BW33" s="58">
        <f t="shared" ref="BW33" si="319">BV33/$BG33</f>
        <v>0</v>
      </c>
      <c r="BX33" s="25">
        <v>33000</v>
      </c>
      <c r="BY33" s="58">
        <f t="shared" ref="BY33" si="320">BX33/$BG33</f>
        <v>2.2000000000000002</v>
      </c>
      <c r="BZ33" s="71">
        <v>20000</v>
      </c>
      <c r="CA33" s="58">
        <f t="shared" ref="CA33" si="321">BZ33/$BG33</f>
        <v>1.3333333333333333</v>
      </c>
      <c r="CB33" s="25">
        <v>40000</v>
      </c>
      <c r="CC33" s="58">
        <f t="shared" ref="CC33" si="322">CB33/$BG33</f>
        <v>2.6666666666666665</v>
      </c>
      <c r="CD33" s="25">
        <v>40000</v>
      </c>
      <c r="CE33" s="58">
        <f t="shared" ref="CE33" si="323">CD33/$BG33</f>
        <v>2.6666666666666665</v>
      </c>
      <c r="CF33" s="25">
        <f t="shared" ref="CF33:CF36" si="324">BH33+BJ33+BL33+BN33+BP33+BR33+BT33+BV33+BX33+BZ33+CB33+CD33</f>
        <v>255800</v>
      </c>
      <c r="CG33" s="58">
        <f t="shared" si="106"/>
        <v>1.4211111111111112</v>
      </c>
    </row>
    <row r="34" spans="1:85" ht="15.75" x14ac:dyDescent="0.25">
      <c r="A34" s="27" t="s">
        <v>30</v>
      </c>
      <c r="B34" s="25">
        <v>48000</v>
      </c>
      <c r="C34" s="26">
        <v>36000</v>
      </c>
      <c r="D34" s="26">
        <v>48000</v>
      </c>
      <c r="E34" s="25">
        <v>48000</v>
      </c>
      <c r="F34" s="25">
        <f>E34/12</f>
        <v>4000</v>
      </c>
      <c r="G34" s="25"/>
      <c r="H34" s="58">
        <f>G34/F34</f>
        <v>0</v>
      </c>
      <c r="I34" s="25">
        <v>3999.9</v>
      </c>
      <c r="J34" s="58">
        <f>I34/F34</f>
        <v>0.99997500000000006</v>
      </c>
      <c r="K34" s="25">
        <v>4399.8999999999996</v>
      </c>
      <c r="L34" s="58">
        <f>K34/F34</f>
        <v>1.0999749999999999</v>
      </c>
      <c r="M34" s="25">
        <v>4400</v>
      </c>
      <c r="N34" s="58">
        <f>M34/F34</f>
        <v>1.1000000000000001</v>
      </c>
      <c r="O34" s="64">
        <v>12400</v>
      </c>
      <c r="P34" s="58">
        <f>O34/$F34</f>
        <v>3.1</v>
      </c>
      <c r="Q34" s="64">
        <v>4400</v>
      </c>
      <c r="R34" s="58">
        <f>Q34/$F34</f>
        <v>1.1000000000000001</v>
      </c>
      <c r="S34" s="64">
        <v>400</v>
      </c>
      <c r="T34" s="58">
        <f>S34/$F34</f>
        <v>0.1</v>
      </c>
      <c r="U34" s="64">
        <v>4400</v>
      </c>
      <c r="V34" s="58">
        <f>U34/$F34</f>
        <v>1.1000000000000001</v>
      </c>
      <c r="W34" s="64">
        <v>4400</v>
      </c>
      <c r="X34" s="58">
        <f>W34/$F34</f>
        <v>1.1000000000000001</v>
      </c>
      <c r="Y34" s="25">
        <f>G34+I34+K34+M34+O34+Q34+S34+U34+W34</f>
        <v>38799.800000000003</v>
      </c>
      <c r="Z34" s="58">
        <f>Y34/$E34</f>
        <v>0.80832916666666677</v>
      </c>
      <c r="AA34" s="25">
        <f>(Y34/9)</f>
        <v>4311.0888888888894</v>
      </c>
      <c r="AB34" s="71">
        <v>4300</v>
      </c>
      <c r="AD34" s="69"/>
      <c r="AE34" t="s">
        <v>141</v>
      </c>
      <c r="AG34" s="25">
        <v>16000</v>
      </c>
      <c r="AH34" s="58">
        <f>AG34/$AB34</f>
        <v>3.7209302325581395</v>
      </c>
      <c r="AI34" s="25">
        <v>34000</v>
      </c>
      <c r="AJ34" s="58">
        <f>AI34/$AB34</f>
        <v>7.9069767441860463</v>
      </c>
      <c r="AK34" s="25"/>
      <c r="AL34" s="58">
        <f>AK34/$AB34</f>
        <v>0</v>
      </c>
      <c r="AM34" s="25">
        <v>1116</v>
      </c>
      <c r="AN34" s="58">
        <f>AM34/$AB34</f>
        <v>0.25953488372093025</v>
      </c>
      <c r="AO34" s="25"/>
      <c r="AP34" s="58">
        <f>AO34/$AB34</f>
        <v>0</v>
      </c>
      <c r="AQ34" s="25"/>
      <c r="AR34" s="58">
        <f>AQ34/$AB34</f>
        <v>0</v>
      </c>
      <c r="AS34" s="25"/>
      <c r="AT34" s="58">
        <f>AS34/$AB34</f>
        <v>0</v>
      </c>
      <c r="AU34" s="25"/>
      <c r="AV34" s="58">
        <f>AU34/$AB34</f>
        <v>0</v>
      </c>
      <c r="AW34" s="25"/>
      <c r="AX34" s="58">
        <f>AW34/$AB34</f>
        <v>0</v>
      </c>
      <c r="AY34" s="25">
        <v>10000</v>
      </c>
      <c r="AZ34" s="58">
        <f>AY34/$AB34</f>
        <v>2.3255813953488373</v>
      </c>
      <c r="BA34" s="25">
        <f>AG34+AI34+AK34+AM34+AO34+AQ34+AS34+AU34+AW34+AY34</f>
        <v>61116</v>
      </c>
      <c r="BB34" s="58">
        <f>BA34/(AB34*12)</f>
        <v>1.1844186046511629</v>
      </c>
      <c r="BC34" s="25">
        <f>BA34/9</f>
        <v>6790.666666666667</v>
      </c>
      <c r="BD34" s="25">
        <f>(5000*10)/12</f>
        <v>4166.666666666667</v>
      </c>
      <c r="BE34" s="25">
        <f>BD34*12</f>
        <v>50000</v>
      </c>
      <c r="BF34" s="128">
        <f>Mensalidades!L15</f>
        <v>50000</v>
      </c>
      <c r="BG34" s="128">
        <f t="shared" si="35"/>
        <v>4166.666666666667</v>
      </c>
      <c r="BH34" s="71">
        <v>10000</v>
      </c>
      <c r="BI34" s="140">
        <f t="shared" si="36"/>
        <v>2.4</v>
      </c>
      <c r="BJ34" s="71">
        <v>17000</v>
      </c>
      <c r="BK34" s="58">
        <f t="shared" si="36"/>
        <v>4.08</v>
      </c>
      <c r="BL34" s="25">
        <v>4000</v>
      </c>
      <c r="BM34" s="58">
        <f t="shared" ref="BM34" si="325">BL34/$BG34</f>
        <v>0.96</v>
      </c>
      <c r="BN34" s="25"/>
      <c r="BO34" s="58">
        <f t="shared" ref="BO34" si="326">BN34/$BG34</f>
        <v>0</v>
      </c>
      <c r="BP34" s="25"/>
      <c r="BQ34" s="58">
        <f t="shared" ref="BQ34" si="327">BP34/$BG34</f>
        <v>0</v>
      </c>
      <c r="BR34" s="25"/>
      <c r="BS34" s="58">
        <f t="shared" ref="BS34" si="328">BR34/$BG34</f>
        <v>0</v>
      </c>
      <c r="BT34" s="25"/>
      <c r="BU34" s="58">
        <f t="shared" ref="BU34" si="329">BT34/$BG34</f>
        <v>0</v>
      </c>
      <c r="BV34" s="25"/>
      <c r="BW34" s="58">
        <f t="shared" ref="BW34" si="330">BV34/$BG34</f>
        <v>0</v>
      </c>
      <c r="BX34" s="25">
        <v>15000</v>
      </c>
      <c r="BY34" s="58">
        <f t="shared" ref="BY34" si="331">BX34/$BG34</f>
        <v>3.5999999999999996</v>
      </c>
      <c r="BZ34" s="71"/>
      <c r="CA34" s="58">
        <f t="shared" ref="CA34" si="332">BZ34/$BG34</f>
        <v>0</v>
      </c>
      <c r="CB34" s="25">
        <v>5000</v>
      </c>
      <c r="CC34" s="58">
        <f t="shared" ref="CC34" si="333">CB34/$BG34</f>
        <v>1.2</v>
      </c>
      <c r="CD34" s="25">
        <v>5000</v>
      </c>
      <c r="CE34" s="58">
        <f t="shared" ref="CE34" si="334">CD34/$BG34</f>
        <v>1.2</v>
      </c>
      <c r="CF34" s="25">
        <f t="shared" si="324"/>
        <v>56000</v>
      </c>
      <c r="CG34" s="58">
        <f t="shared" si="106"/>
        <v>1.1200000000000001</v>
      </c>
    </row>
    <row r="35" spans="1:85" ht="15.75" x14ac:dyDescent="0.25">
      <c r="A35" s="27" t="s">
        <v>26</v>
      </c>
      <c r="B35" s="25">
        <v>150000</v>
      </c>
      <c r="C35" s="26">
        <v>125146.57</v>
      </c>
      <c r="D35" s="26">
        <v>166862.09333333332</v>
      </c>
      <c r="E35" s="25">
        <v>175205.198</v>
      </c>
      <c r="F35" s="25">
        <f t="shared" si="290"/>
        <v>14600.433166666668</v>
      </c>
      <c r="G35" s="25">
        <f>2900+5108.2</f>
        <v>8008.2</v>
      </c>
      <c r="H35" s="58">
        <f t="shared" si="11"/>
        <v>0.54849057617571362</v>
      </c>
      <c r="I35" s="25">
        <f>475+11448.21</f>
        <v>11923.21</v>
      </c>
      <c r="J35" s="58">
        <f t="shared" si="12"/>
        <v>0.81663399050523588</v>
      </c>
      <c r="K35" s="25">
        <f>4590+4400</f>
        <v>8990</v>
      </c>
      <c r="L35" s="58">
        <f t="shared" si="13"/>
        <v>0.61573515644210508</v>
      </c>
      <c r="M35" s="25">
        <f>1085+5540</f>
        <v>6625</v>
      </c>
      <c r="N35" s="58">
        <f t="shared" si="14"/>
        <v>0.45375366089309743</v>
      </c>
      <c r="O35" s="64">
        <f>1155+23400</f>
        <v>24555</v>
      </c>
      <c r="P35" s="58">
        <f t="shared" si="15"/>
        <v>1.6817994178460389</v>
      </c>
      <c r="Q35" s="64">
        <f>1820+7490</f>
        <v>9310</v>
      </c>
      <c r="R35" s="58">
        <f t="shared" si="47"/>
        <v>0.63765231440222447</v>
      </c>
      <c r="S35" s="64">
        <f>2435+3570</f>
        <v>6005</v>
      </c>
      <c r="T35" s="58">
        <f t="shared" si="48"/>
        <v>0.41128916734536608</v>
      </c>
      <c r="U35" s="64">
        <f>2760+19725</f>
        <v>22485</v>
      </c>
      <c r="V35" s="58">
        <f t="shared" si="49"/>
        <v>1.5400228022915163</v>
      </c>
      <c r="W35" s="64">
        <f>810+10725</f>
        <v>11535</v>
      </c>
      <c r="X35" s="58">
        <f t="shared" si="50"/>
        <v>0.7900450533436798</v>
      </c>
      <c r="Y35" s="25">
        <f t="shared" si="20"/>
        <v>109436.41</v>
      </c>
      <c r="Z35" s="58">
        <f t="shared" si="21"/>
        <v>0.62461851160374815</v>
      </c>
      <c r="AA35" s="25">
        <f t="shared" si="51"/>
        <v>12159.601111111111</v>
      </c>
      <c r="AB35" s="71">
        <f>AA35*AC7</f>
        <v>12645.985155555556</v>
      </c>
      <c r="AD35" s="69">
        <f t="shared" si="93"/>
        <v>1.04</v>
      </c>
      <c r="AG35" s="25">
        <f>371.16+4497.08</f>
        <v>4868.24</v>
      </c>
      <c r="AH35" s="58">
        <f t="shared" si="0"/>
        <v>0.3849632859849843</v>
      </c>
      <c r="AI35" s="25">
        <f>1620.76+6735</f>
        <v>8355.76</v>
      </c>
      <c r="AJ35" s="58">
        <f t="shared" ref="AJ35" si="335">AI35/$AB35</f>
        <v>0.66074409365641229</v>
      </c>
      <c r="AK35" s="25"/>
      <c r="AL35" s="58">
        <f t="shared" si="53"/>
        <v>0</v>
      </c>
      <c r="AM35" s="25">
        <f>2193.6+2750</f>
        <v>4943.6000000000004</v>
      </c>
      <c r="AN35" s="58">
        <f t="shared" si="54"/>
        <v>0.390922489564066</v>
      </c>
      <c r="AO35" s="25"/>
      <c r="AP35" s="58">
        <f t="shared" si="55"/>
        <v>0</v>
      </c>
      <c r="AQ35" s="25"/>
      <c r="AR35" s="58">
        <f t="shared" si="56"/>
        <v>0</v>
      </c>
      <c r="AS35" s="25"/>
      <c r="AT35" s="58">
        <f t="shared" si="57"/>
        <v>0</v>
      </c>
      <c r="AU35" s="25"/>
      <c r="AV35" s="58">
        <f t="shared" si="58"/>
        <v>0</v>
      </c>
      <c r="AW35" s="25"/>
      <c r="AX35" s="58">
        <f t="shared" si="59"/>
        <v>0</v>
      </c>
      <c r="AY35" s="25">
        <f>2348</f>
        <v>2348</v>
      </c>
      <c r="AZ35" s="58">
        <f t="shared" si="60"/>
        <v>0.18567157648200236</v>
      </c>
      <c r="BA35" s="25">
        <f t="shared" si="31"/>
        <v>20515.599999999999</v>
      </c>
      <c r="BB35" s="58">
        <f t="shared" si="32"/>
        <v>0.13519178714062208</v>
      </c>
      <c r="BC35" s="25">
        <f t="shared" si="33"/>
        <v>2279.5111111111109</v>
      </c>
      <c r="BD35" s="25">
        <f>AB35*BA1</f>
        <v>13151.824561777779</v>
      </c>
      <c r="BE35" s="25">
        <f t="shared" si="34"/>
        <v>157821.89474133335</v>
      </c>
      <c r="BF35" s="128">
        <v>151751</v>
      </c>
      <c r="BG35" s="128">
        <f t="shared" si="35"/>
        <v>12645.916666666666</v>
      </c>
      <c r="BH35" s="71">
        <f>1221.6+12478.63</f>
        <v>13700.23</v>
      </c>
      <c r="BI35" s="140">
        <f t="shared" si="36"/>
        <v>1.083371839394798</v>
      </c>
      <c r="BJ35" s="71">
        <f>720.7</f>
        <v>720.7</v>
      </c>
      <c r="BK35" s="58">
        <f t="shared" si="36"/>
        <v>5.6990728232433403E-2</v>
      </c>
      <c r="BL35" s="25">
        <f>114.66+204.31</f>
        <v>318.97000000000003</v>
      </c>
      <c r="BM35" s="58">
        <f t="shared" ref="BM35" si="336">BL35/$BG35</f>
        <v>2.522316162661202E-2</v>
      </c>
      <c r="BN35" s="25">
        <f>117.92+5204.31</f>
        <v>5322.2300000000005</v>
      </c>
      <c r="BO35" s="58">
        <f t="shared" ref="BO35" si="337">BN35/$BG35</f>
        <v>0.42086549676773138</v>
      </c>
      <c r="BP35" s="25">
        <f>810+10554.3</f>
        <v>11364.3</v>
      </c>
      <c r="BQ35" s="58">
        <f t="shared" ref="BQ35" si="338">BP35/$BG35</f>
        <v>0.89865371562625618</v>
      </c>
      <c r="BR35" s="25">
        <f>8570.49+704.31</f>
        <v>9274.7999999999993</v>
      </c>
      <c r="BS35" s="58">
        <f t="shared" ref="BS35" si="339">BR35/$BG35</f>
        <v>0.73342251451390761</v>
      </c>
      <c r="BT35" s="25">
        <f>12288.64+1204.31</f>
        <v>13492.949999999999</v>
      </c>
      <c r="BU35" s="58">
        <f t="shared" ref="BU35" si="340">BT35/$BG35</f>
        <v>1.0669807777213989</v>
      </c>
      <c r="BV35" s="25">
        <f>3089.32+5384.31</f>
        <v>8473.630000000001</v>
      </c>
      <c r="BW35" s="58">
        <f t="shared" ref="BW35" si="341">BV35/$BG35</f>
        <v>0.67006846742360848</v>
      </c>
      <c r="BX35" s="25">
        <f>5720+16203.31</f>
        <v>21923.309999999998</v>
      </c>
      <c r="BY35" s="58">
        <f t="shared" ref="BY35" si="342">BX35/$BG35</f>
        <v>1.7336275872976123</v>
      </c>
      <c r="BZ35" s="71">
        <v>21915.31</v>
      </c>
      <c r="CA35" s="58">
        <f t="shared" ref="CA35" si="343">BZ35/$BG35</f>
        <v>1.7329949720265436</v>
      </c>
      <c r="CB35" s="25">
        <f>5990+13181.31</f>
        <v>19171.309999999998</v>
      </c>
      <c r="CC35" s="58">
        <f t="shared" ref="CC35" si="344">CB35/$BG35</f>
        <v>1.5160079340498578</v>
      </c>
      <c r="CD35" s="25">
        <f>460+28407.26</f>
        <v>28867.26</v>
      </c>
      <c r="CE35" s="58">
        <f t="shared" ref="CE35" si="345">CD35/$BG35</f>
        <v>2.2827336887401071</v>
      </c>
      <c r="CF35" s="25">
        <f t="shared" si="324"/>
        <v>154545</v>
      </c>
      <c r="CG35" s="58">
        <f t="shared" si="106"/>
        <v>1.0184117402850723</v>
      </c>
    </row>
    <row r="36" spans="1:85" ht="15.75" x14ac:dyDescent="0.25">
      <c r="A36" s="27" t="s">
        <v>29</v>
      </c>
      <c r="B36" s="25">
        <v>0</v>
      </c>
      <c r="C36" s="26">
        <v>8080</v>
      </c>
      <c r="D36" s="26">
        <v>10773.333333333334</v>
      </c>
      <c r="E36" s="25">
        <v>0</v>
      </c>
      <c r="F36" s="25">
        <f t="shared" si="290"/>
        <v>0</v>
      </c>
      <c r="G36" s="25"/>
      <c r="H36" s="58"/>
      <c r="I36" s="25"/>
      <c r="J36" s="58"/>
      <c r="K36" s="25"/>
      <c r="L36" s="58"/>
      <c r="M36" s="25">
        <v>50000</v>
      </c>
      <c r="N36" s="58"/>
      <c r="O36" s="64"/>
      <c r="P36" s="58"/>
      <c r="Q36" s="64"/>
      <c r="R36" s="58"/>
      <c r="S36" s="64"/>
      <c r="T36" s="58"/>
      <c r="U36" s="64">
        <v>5000</v>
      </c>
      <c r="V36" s="58"/>
      <c r="W36" s="64"/>
      <c r="X36" s="58"/>
      <c r="Y36" s="25">
        <f t="shared" si="20"/>
        <v>55000</v>
      </c>
      <c r="Z36" s="58"/>
      <c r="AA36" s="25">
        <f t="shared" si="51"/>
        <v>6111.1111111111113</v>
      </c>
      <c r="AB36" s="71">
        <v>0</v>
      </c>
      <c r="AD36" s="69">
        <f t="shared" si="93"/>
        <v>0</v>
      </c>
      <c r="AG36" s="25"/>
      <c r="AH36" s="58" t="e">
        <f t="shared" si="0"/>
        <v>#DIV/0!</v>
      </c>
      <c r="AI36" s="25"/>
      <c r="AJ36" s="58" t="e">
        <f t="shared" ref="AJ36" si="346">AI36/$AB36</f>
        <v>#DIV/0!</v>
      </c>
      <c r="AK36" s="25"/>
      <c r="AL36" s="58" t="e">
        <f t="shared" si="53"/>
        <v>#DIV/0!</v>
      </c>
      <c r="AM36" s="25"/>
      <c r="AN36" s="58" t="e">
        <f t="shared" si="54"/>
        <v>#DIV/0!</v>
      </c>
      <c r="AO36" s="25"/>
      <c r="AP36" s="58" t="e">
        <f t="shared" si="55"/>
        <v>#DIV/0!</v>
      </c>
      <c r="AQ36" s="25"/>
      <c r="AR36" s="58" t="e">
        <f t="shared" si="56"/>
        <v>#DIV/0!</v>
      </c>
      <c r="AS36" s="25"/>
      <c r="AT36" s="58" t="e">
        <f t="shared" si="57"/>
        <v>#DIV/0!</v>
      </c>
      <c r="AU36" s="25"/>
      <c r="AV36" s="58" t="e">
        <f t="shared" si="58"/>
        <v>#DIV/0!</v>
      </c>
      <c r="AW36" s="25"/>
      <c r="AX36" s="58" t="e">
        <f t="shared" si="59"/>
        <v>#DIV/0!</v>
      </c>
      <c r="AY36" s="25"/>
      <c r="AZ36" s="58" t="e">
        <f t="shared" si="60"/>
        <v>#DIV/0!</v>
      </c>
      <c r="BA36" s="25">
        <f t="shared" si="31"/>
        <v>0</v>
      </c>
      <c r="BB36" s="58" t="e">
        <f t="shared" si="32"/>
        <v>#DIV/0!</v>
      </c>
      <c r="BC36" s="25">
        <f t="shared" si="33"/>
        <v>0</v>
      </c>
      <c r="BD36" s="25"/>
      <c r="BE36" s="25">
        <f t="shared" si="34"/>
        <v>0</v>
      </c>
      <c r="BF36" s="129"/>
      <c r="BG36" s="129">
        <f t="shared" si="35"/>
        <v>0</v>
      </c>
      <c r="BH36" s="71">
        <v>6000</v>
      </c>
      <c r="BI36" s="140" t="e">
        <f t="shared" si="36"/>
        <v>#DIV/0!</v>
      </c>
      <c r="BJ36" s="71"/>
      <c r="BK36" s="58" t="e">
        <f t="shared" si="36"/>
        <v>#DIV/0!</v>
      </c>
      <c r="BL36" s="25">
        <v>1000</v>
      </c>
      <c r="BM36" s="58" t="e">
        <f t="shared" ref="BM36" si="347">BL36/$BG36</f>
        <v>#DIV/0!</v>
      </c>
      <c r="BN36" s="25"/>
      <c r="BO36" s="58" t="e">
        <f t="shared" ref="BO36" si="348">BN36/$BG36</f>
        <v>#DIV/0!</v>
      </c>
      <c r="BP36" s="25"/>
      <c r="BQ36" s="58" t="e">
        <f t="shared" ref="BQ36" si="349">BP36/$BG36</f>
        <v>#DIV/0!</v>
      </c>
      <c r="BR36" s="25"/>
      <c r="BS36" s="58" t="e">
        <f t="shared" ref="BS36" si="350">BR36/$BG36</f>
        <v>#DIV/0!</v>
      </c>
      <c r="BT36" s="25"/>
      <c r="BU36" s="58" t="e">
        <f t="shared" ref="BU36" si="351">BT36/$BG36</f>
        <v>#DIV/0!</v>
      </c>
      <c r="BV36" s="25"/>
      <c r="BW36" s="58" t="e">
        <f t="shared" ref="BW36" si="352">BV36/$BG36</f>
        <v>#DIV/0!</v>
      </c>
      <c r="BX36" s="25"/>
      <c r="BY36" s="58" t="e">
        <f t="shared" ref="BY36" si="353">BX36/$BG36</f>
        <v>#DIV/0!</v>
      </c>
      <c r="BZ36" s="71"/>
      <c r="CA36" s="58" t="e">
        <f t="shared" ref="CA36" si="354">BZ36/$BG36</f>
        <v>#DIV/0!</v>
      </c>
      <c r="CB36" s="25"/>
      <c r="CC36" s="58" t="e">
        <f t="shared" ref="CC36" si="355">CB36/$BG36</f>
        <v>#DIV/0!</v>
      </c>
      <c r="CD36" s="25"/>
      <c r="CE36" s="58" t="e">
        <f t="shared" ref="CE36" si="356">CD36/$BG36</f>
        <v>#DIV/0!</v>
      </c>
      <c r="CF36" s="25">
        <f t="shared" si="324"/>
        <v>7000</v>
      </c>
      <c r="CG36" s="58" t="e">
        <f t="shared" si="106"/>
        <v>#DIV/0!</v>
      </c>
    </row>
    <row r="37" spans="1:85" ht="15.75" x14ac:dyDescent="0.25">
      <c r="A37" s="18" t="s">
        <v>31</v>
      </c>
      <c r="B37" s="19">
        <v>190000</v>
      </c>
      <c r="C37" s="29">
        <v>117636.65</v>
      </c>
      <c r="D37" s="19">
        <v>156848.86666666667</v>
      </c>
      <c r="E37" s="19">
        <v>211191.31</v>
      </c>
      <c r="F37" s="19">
        <f t="shared" si="290"/>
        <v>17599.275833333333</v>
      </c>
      <c r="G37" s="19">
        <f>SUM(G38:G43)</f>
        <v>12846.33</v>
      </c>
      <c r="H37" s="56">
        <f t="shared" si="11"/>
        <v>0.72993514742628374</v>
      </c>
      <c r="I37" s="19">
        <f>SUM(I38:I43)</f>
        <v>4987.91</v>
      </c>
      <c r="J37" s="56">
        <f t="shared" si="12"/>
        <v>0.28341563864535901</v>
      </c>
      <c r="K37" s="19">
        <f>SUM(K38:K43)</f>
        <v>21777.97</v>
      </c>
      <c r="L37" s="56">
        <f t="shared" si="13"/>
        <v>1.2374355744088146</v>
      </c>
      <c r="M37" s="19">
        <f>SUM(M38:M43)</f>
        <v>20435.48</v>
      </c>
      <c r="N37" s="56">
        <f t="shared" si="14"/>
        <v>1.1611545948552524</v>
      </c>
      <c r="O37" s="62">
        <f>SUM(O38:O43)</f>
        <v>28418.51</v>
      </c>
      <c r="P37" s="56">
        <f t="shared" si="15"/>
        <v>1.6147545086017032</v>
      </c>
      <c r="Q37" s="62">
        <f>SUM(Q38:Q43)</f>
        <v>35794.29</v>
      </c>
      <c r="R37" s="56">
        <f t="shared" ref="R37:R43" si="357">Q37/$F37</f>
        <v>2.0338501617325071</v>
      </c>
      <c r="S37" s="62">
        <f>SUM(S38:S43)</f>
        <v>20759.11</v>
      </c>
      <c r="T37" s="56">
        <f t="shared" ref="T37:T43" si="358">S37/$F37</f>
        <v>1.1795434196605912</v>
      </c>
      <c r="U37" s="62">
        <f>SUM(U38:U43)</f>
        <v>19684</v>
      </c>
      <c r="V37" s="56">
        <f t="shared" ref="V37:V43" si="359">U37/$F37</f>
        <v>1.1184551106766656</v>
      </c>
      <c r="W37" s="62">
        <f>SUM(W38:W43)</f>
        <v>23802.5</v>
      </c>
      <c r="X37" s="56">
        <f t="shared" ref="X37:X43" si="360">W37/$F37</f>
        <v>1.3524704212498138</v>
      </c>
      <c r="Y37" s="19">
        <f t="shared" si="20"/>
        <v>188506.09999999998</v>
      </c>
      <c r="Z37" s="56">
        <f t="shared" si="21"/>
        <v>0.89258454810474908</v>
      </c>
      <c r="AA37" s="19">
        <f t="shared" si="51"/>
        <v>20945.12222222222</v>
      </c>
      <c r="AB37" s="19">
        <f>SUM(AB38:AB43)</f>
        <v>21603.482222222221</v>
      </c>
      <c r="AD37" s="69"/>
      <c r="AG37" s="19">
        <f>SUM(AG38:AG49)</f>
        <v>21067.16</v>
      </c>
      <c r="AH37" s="56">
        <f t="shared" si="0"/>
        <v>0.97517426974478505</v>
      </c>
      <c r="AI37" s="19">
        <f>SUM(AI38:AI49)</f>
        <v>26852</v>
      </c>
      <c r="AJ37" s="56">
        <f t="shared" ref="AJ37" si="361">AI37/$AB37</f>
        <v>1.242947767576976</v>
      </c>
      <c r="AK37" s="19">
        <f>SUM(AK38:AK49)</f>
        <v>0</v>
      </c>
      <c r="AL37" s="56">
        <f t="shared" si="53"/>
        <v>0</v>
      </c>
      <c r="AM37" s="19">
        <f>SUM(AM38:AM49)</f>
        <v>21110</v>
      </c>
      <c r="AN37" s="56">
        <f t="shared" si="54"/>
        <v>0.97715728338857311</v>
      </c>
      <c r="AO37" s="19">
        <f>SUM(AO38:AO49)</f>
        <v>0</v>
      </c>
      <c r="AP37" s="56">
        <f t="shared" si="55"/>
        <v>0</v>
      </c>
      <c r="AQ37" s="19">
        <f>SUM(AQ38:AQ49)</f>
        <v>2700</v>
      </c>
      <c r="AR37" s="56">
        <f t="shared" si="56"/>
        <v>0.12497985149924905</v>
      </c>
      <c r="AS37" s="19">
        <f>SUM(AS38:AS49)</f>
        <v>102.93</v>
      </c>
      <c r="AT37" s="56">
        <f t="shared" si="57"/>
        <v>4.7645096721547053E-3</v>
      </c>
      <c r="AU37" s="19">
        <f>SUM(AU38:AU49)</f>
        <v>0</v>
      </c>
      <c r="AV37" s="56">
        <f t="shared" si="58"/>
        <v>0</v>
      </c>
      <c r="AW37" s="19">
        <f>SUM(AW38:AW49)</f>
        <v>20008</v>
      </c>
      <c r="AX37" s="56">
        <f t="shared" si="59"/>
        <v>0.9261469884433241</v>
      </c>
      <c r="AY37" s="19">
        <f>SUM(AY38:AY49)</f>
        <v>21149.33</v>
      </c>
      <c r="AZ37" s="56">
        <f t="shared" si="60"/>
        <v>0.97897782322541227</v>
      </c>
      <c r="BA37" s="19">
        <f>SUM(BA38:BA43)</f>
        <v>112989.42</v>
      </c>
      <c r="BB37" s="56">
        <f t="shared" si="32"/>
        <v>0.43584570779587284</v>
      </c>
      <c r="BC37" s="19">
        <f t="shared" si="33"/>
        <v>12554.38</v>
      </c>
      <c r="BD37" s="19">
        <f>SUM(BD38:BD49)</f>
        <v>28147.633696000001</v>
      </c>
      <c r="BE37" s="19">
        <f t="shared" si="34"/>
        <v>337771.60435199999</v>
      </c>
      <c r="BF37" s="132">
        <f>SUM(BF38:BF43)</f>
        <v>319400</v>
      </c>
      <c r="BG37" s="132">
        <f t="shared" si="35"/>
        <v>26616.666666666668</v>
      </c>
      <c r="BH37" s="19">
        <f>SUM(BH38:BH43)</f>
        <v>0</v>
      </c>
      <c r="BI37" s="56">
        <f t="shared" si="36"/>
        <v>0</v>
      </c>
      <c r="BJ37" s="19">
        <f>SUM(BJ38:BJ43)</f>
        <v>13720</v>
      </c>
      <c r="BK37" s="56">
        <f t="shared" si="36"/>
        <v>0.51546649968691294</v>
      </c>
      <c r="BL37" s="19">
        <f>SUM(BL38:BL43)</f>
        <v>28543</v>
      </c>
      <c r="BM37" s="56">
        <f t="shared" ref="BM37" si="362">BL37/$BG37</f>
        <v>1.0723731997495303</v>
      </c>
      <c r="BN37" s="19">
        <f>SUM(BN38:BN43)</f>
        <v>28580.09</v>
      </c>
      <c r="BO37" s="56">
        <f t="shared" ref="BO37" si="363">BN37/$BG37</f>
        <v>1.0737666875391358</v>
      </c>
      <c r="BP37" s="19">
        <f>SUM(BP38:BP43)</f>
        <v>21120</v>
      </c>
      <c r="BQ37" s="56">
        <f t="shared" ref="BQ37" si="364">BP37/$BG37</f>
        <v>0.79348778960551025</v>
      </c>
      <c r="BR37" s="19">
        <f>SUM(BR38:BR43)</f>
        <v>47977.009999999995</v>
      </c>
      <c r="BS37" s="56">
        <f t="shared" ref="BS37" si="365">BR37/$BG37</f>
        <v>1.8025175954915464</v>
      </c>
      <c r="BT37" s="19">
        <f>SUM(BT38:BT43)</f>
        <v>34110</v>
      </c>
      <c r="BU37" s="56">
        <f t="shared" ref="BU37" si="366">BT37/$BG37</f>
        <v>1.2815278647463995</v>
      </c>
      <c r="BV37" s="19">
        <f>SUM(BV38:BV43)</f>
        <v>34537.33</v>
      </c>
      <c r="BW37" s="56">
        <f t="shared" ref="BW37" si="367">BV37/$BG37</f>
        <v>1.2975828428303069</v>
      </c>
      <c r="BX37" s="19">
        <f>SUM(BX38:BX43)</f>
        <v>27020.010000000002</v>
      </c>
      <c r="BY37" s="56">
        <f t="shared" ref="BY37" si="368">BX37/$BG37</f>
        <v>1.0151537883531623</v>
      </c>
      <c r="BZ37" s="19">
        <v>38040.020000000004</v>
      </c>
      <c r="CA37" s="56">
        <f t="shared" ref="CA37" si="369">BZ37/$BG37</f>
        <v>1.4291804633688165</v>
      </c>
      <c r="CB37" s="19">
        <f>SUM(CB38:CB43)</f>
        <v>19463.8</v>
      </c>
      <c r="CC37" s="56">
        <f t="shared" ref="CC37" si="370">CB37/$BG37</f>
        <v>0.73126361928616146</v>
      </c>
      <c r="CD37" s="19">
        <f>SUM(CD38:CD43)</f>
        <v>21121.4</v>
      </c>
      <c r="CE37" s="56">
        <f t="shared" ref="CE37" si="371">CD37/$BG37</f>
        <v>0.79354038822792738</v>
      </c>
      <c r="CF37" s="19">
        <f>SUM(CF38:CF43)</f>
        <v>314232.65999999997</v>
      </c>
      <c r="CG37" s="56">
        <f t="shared" si="106"/>
        <v>0.98382172824045078</v>
      </c>
    </row>
    <row r="38" spans="1:85" ht="15.75" x14ac:dyDescent="0.25">
      <c r="A38" s="27" t="s">
        <v>127</v>
      </c>
      <c r="B38" s="25"/>
      <c r="C38" s="25"/>
      <c r="D38" s="33"/>
      <c r="E38" s="25">
        <v>10000</v>
      </c>
      <c r="F38" s="25">
        <f t="shared" si="290"/>
        <v>833.33333333333337</v>
      </c>
      <c r="G38" s="25"/>
      <c r="H38" s="58">
        <f t="shared" si="11"/>
        <v>0</v>
      </c>
      <c r="I38" s="25"/>
      <c r="J38" s="58">
        <f t="shared" si="12"/>
        <v>0</v>
      </c>
      <c r="K38" s="25"/>
      <c r="L38" s="58">
        <f t="shared" si="13"/>
        <v>0</v>
      </c>
      <c r="M38" s="25"/>
      <c r="N38" s="58">
        <f t="shared" si="14"/>
        <v>0</v>
      </c>
      <c r="O38" s="64">
        <v>6979</v>
      </c>
      <c r="P38" s="58">
        <f t="shared" si="15"/>
        <v>8.3748000000000005</v>
      </c>
      <c r="Q38" s="64">
        <v>2812</v>
      </c>
      <c r="R38" s="58">
        <f t="shared" si="357"/>
        <v>3.3744000000000001</v>
      </c>
      <c r="S38" s="64">
        <v>3530</v>
      </c>
      <c r="T38" s="58">
        <f t="shared" si="358"/>
        <v>4.2359999999999998</v>
      </c>
      <c r="U38" s="64"/>
      <c r="V38" s="58">
        <f t="shared" si="359"/>
        <v>0</v>
      </c>
      <c r="W38" s="64"/>
      <c r="X38" s="58">
        <f t="shared" si="360"/>
        <v>0</v>
      </c>
      <c r="Y38" s="25">
        <f t="shared" si="20"/>
        <v>13321</v>
      </c>
      <c r="Z38" s="58">
        <f t="shared" si="21"/>
        <v>1.3321000000000001</v>
      </c>
      <c r="AA38" s="25">
        <f t="shared" si="51"/>
        <v>1480.1111111111111</v>
      </c>
      <c r="AB38" s="71">
        <f>AA38*AC7</f>
        <v>1539.3155555555556</v>
      </c>
      <c r="AD38" s="69">
        <f t="shared" si="93"/>
        <v>1.04</v>
      </c>
      <c r="AG38" s="25">
        <v>3163</v>
      </c>
      <c r="AH38" s="58">
        <f t="shared" si="0"/>
        <v>2.0548093524972137</v>
      </c>
      <c r="AI38" s="25">
        <v>6706</v>
      </c>
      <c r="AJ38" s="58">
        <f t="shared" ref="AJ38" si="372">AI38/$AB38</f>
        <v>4.3564816686203969</v>
      </c>
      <c r="AK38" s="25"/>
      <c r="AL38" s="58">
        <f t="shared" si="53"/>
        <v>0</v>
      </c>
      <c r="AM38" s="25">
        <v>1050</v>
      </c>
      <c r="AN38" s="58">
        <f t="shared" si="54"/>
        <v>0.68212134686123116</v>
      </c>
      <c r="AO38" s="25"/>
      <c r="AP38" s="58">
        <f t="shared" si="55"/>
        <v>0</v>
      </c>
      <c r="AQ38" s="25"/>
      <c r="AR38" s="58">
        <f t="shared" si="56"/>
        <v>0</v>
      </c>
      <c r="AS38" s="25"/>
      <c r="AT38" s="58">
        <f t="shared" si="57"/>
        <v>0</v>
      </c>
      <c r="AU38" s="25"/>
      <c r="AV38" s="58">
        <f t="shared" si="58"/>
        <v>0</v>
      </c>
      <c r="AW38" s="25"/>
      <c r="AX38" s="58">
        <f t="shared" si="59"/>
        <v>0</v>
      </c>
      <c r="AY38" s="25"/>
      <c r="AZ38" s="58">
        <f t="shared" si="60"/>
        <v>0</v>
      </c>
      <c r="BA38" s="25">
        <f t="shared" si="31"/>
        <v>10919</v>
      </c>
      <c r="BB38" s="58">
        <f t="shared" si="32"/>
        <v>0.59111769733157016</v>
      </c>
      <c r="BC38" s="25">
        <f t="shared" si="33"/>
        <v>1213.2222222222222</v>
      </c>
      <c r="BD38" s="25">
        <f>AB38*BA1</f>
        <v>1600.8881777777779</v>
      </c>
      <c r="BE38" s="25">
        <f t="shared" si="34"/>
        <v>19210.658133333334</v>
      </c>
      <c r="BF38" s="128">
        <v>20000</v>
      </c>
      <c r="BG38" s="128">
        <f t="shared" si="35"/>
        <v>1666.6666666666667</v>
      </c>
      <c r="BH38" s="71"/>
      <c r="BI38" s="140">
        <f t="shared" si="36"/>
        <v>0</v>
      </c>
      <c r="BJ38" s="71">
        <v>8190</v>
      </c>
      <c r="BK38" s="58">
        <f t="shared" si="36"/>
        <v>4.9139999999999997</v>
      </c>
      <c r="BL38" s="25"/>
      <c r="BM38" s="58">
        <f t="shared" ref="BM38" si="373">BL38/$BG38</f>
        <v>0</v>
      </c>
      <c r="BN38" s="25">
        <v>1350</v>
      </c>
      <c r="BO38" s="58">
        <f t="shared" ref="BO38" si="374">BN38/$BG38</f>
        <v>0.80999999999999994</v>
      </c>
      <c r="BP38" s="25">
        <v>920</v>
      </c>
      <c r="BQ38" s="58">
        <f t="shared" ref="BQ38" si="375">BP38/$BG38</f>
        <v>0.55199999999999994</v>
      </c>
      <c r="BR38" s="25">
        <v>12727</v>
      </c>
      <c r="BS38" s="58">
        <f t="shared" ref="BS38" si="376">BR38/$BG38</f>
        <v>7.6361999999999997</v>
      </c>
      <c r="BT38" s="25">
        <v>5100</v>
      </c>
      <c r="BU38" s="58">
        <f t="shared" ref="BU38" si="377">BT38/$BG38</f>
        <v>3.06</v>
      </c>
      <c r="BV38" s="25">
        <v>4774</v>
      </c>
      <c r="BW38" s="58">
        <f t="shared" ref="BW38" si="378">BV38/$BG38</f>
        <v>2.8643999999999998</v>
      </c>
      <c r="BX38" s="25">
        <v>1550</v>
      </c>
      <c r="BY38" s="58">
        <f t="shared" ref="BY38" si="379">BX38/$BG38</f>
        <v>0.92999999999999994</v>
      </c>
      <c r="BZ38" s="71">
        <v>6800</v>
      </c>
      <c r="CA38" s="58">
        <f t="shared" ref="CA38" si="380">BZ38/$BG38</f>
        <v>4.08</v>
      </c>
      <c r="CB38" s="25">
        <v>2550</v>
      </c>
      <c r="CC38" s="58">
        <f t="shared" ref="CC38" si="381">CB38/$BG38</f>
        <v>1.53</v>
      </c>
      <c r="CD38" s="25">
        <v>1150</v>
      </c>
      <c r="CE38" s="58">
        <f t="shared" ref="CE38" si="382">CD38/$BG38</f>
        <v>0.69</v>
      </c>
      <c r="CF38" s="25">
        <f t="shared" ref="CF38:CF43" si="383">BH38+BJ38+BL38+BN38+BP38+BR38+BT38+BV38+BX38+BZ38+CB38+CD38</f>
        <v>45111</v>
      </c>
      <c r="CG38" s="58">
        <f t="shared" si="106"/>
        <v>2.2555499999999999</v>
      </c>
    </row>
    <row r="39" spans="1:85" ht="15.75" x14ac:dyDescent="0.25">
      <c r="A39" s="27" t="s">
        <v>207</v>
      </c>
      <c r="B39" s="25"/>
      <c r="C39" s="25"/>
      <c r="D39" s="33"/>
      <c r="E39" s="25"/>
      <c r="F39" s="25"/>
      <c r="G39" s="25"/>
      <c r="H39" s="58"/>
      <c r="I39" s="25"/>
      <c r="J39" s="58"/>
      <c r="K39" s="25"/>
      <c r="L39" s="58"/>
      <c r="M39" s="25"/>
      <c r="N39" s="58"/>
      <c r="O39" s="64"/>
      <c r="P39" s="58"/>
      <c r="Q39" s="64"/>
      <c r="R39" s="58"/>
      <c r="S39" s="64"/>
      <c r="T39" s="58"/>
      <c r="U39" s="64"/>
      <c r="V39" s="58"/>
      <c r="W39" s="64"/>
      <c r="X39" s="58"/>
      <c r="Y39" s="25"/>
      <c r="Z39" s="58"/>
      <c r="AA39" s="25"/>
      <c r="AB39" s="71"/>
      <c r="AD39" s="69"/>
      <c r="AG39" s="25"/>
      <c r="AH39" s="58"/>
      <c r="AI39" s="25"/>
      <c r="AJ39" s="58"/>
      <c r="AK39" s="25"/>
      <c r="AL39" s="58"/>
      <c r="AM39" s="25"/>
      <c r="AN39" s="58"/>
      <c r="AO39" s="25"/>
      <c r="AP39" s="58"/>
      <c r="AQ39" s="25"/>
      <c r="AR39" s="58"/>
      <c r="AS39" s="25"/>
      <c r="AT39" s="58"/>
      <c r="AU39" s="25"/>
      <c r="AV39" s="58"/>
      <c r="AW39" s="25"/>
      <c r="AX39" s="58"/>
      <c r="AY39" s="25"/>
      <c r="AZ39" s="58"/>
      <c r="BA39" s="25"/>
      <c r="BB39" s="58"/>
      <c r="BC39" s="25"/>
      <c r="BD39" s="25"/>
      <c r="BE39" s="25"/>
      <c r="BF39" s="128">
        <v>25000</v>
      </c>
      <c r="BG39" s="128">
        <f t="shared" si="35"/>
        <v>2083.3333333333335</v>
      </c>
      <c r="BH39" s="71"/>
      <c r="BI39" s="140">
        <f t="shared" si="36"/>
        <v>0</v>
      </c>
      <c r="BJ39" s="71"/>
      <c r="BK39" s="58">
        <f t="shared" si="36"/>
        <v>0</v>
      </c>
      <c r="BL39" s="25"/>
      <c r="BM39" s="58">
        <f t="shared" ref="BM39" si="384">BL39/$BG39</f>
        <v>0</v>
      </c>
      <c r="BN39" s="25"/>
      <c r="BO39" s="58">
        <f t="shared" ref="BO39" si="385">BN39/$BG39</f>
        <v>0</v>
      </c>
      <c r="BP39" s="25">
        <v>900</v>
      </c>
      <c r="BQ39" s="58">
        <f t="shared" ref="BQ39" si="386">BP39/$BG39</f>
        <v>0.432</v>
      </c>
      <c r="BR39" s="25">
        <v>19400.009999999998</v>
      </c>
      <c r="BS39" s="58">
        <f t="shared" ref="BS39" si="387">BR39/$BG39</f>
        <v>9.3120047999999986</v>
      </c>
      <c r="BT39" s="25">
        <v>17150</v>
      </c>
      <c r="BU39" s="58">
        <f t="shared" ref="BU39" si="388">BT39/$BG39</f>
        <v>8.2319999999999993</v>
      </c>
      <c r="BV39" s="25">
        <v>12940.99</v>
      </c>
      <c r="BW39" s="58">
        <f t="shared" ref="BW39" si="389">BV39/$BG39</f>
        <v>6.2116751999999993</v>
      </c>
      <c r="BX39" s="25">
        <v>10890.08</v>
      </c>
      <c r="BY39" s="58">
        <f t="shared" ref="BY39" si="390">BX39/$BG39</f>
        <v>5.2272383999999992</v>
      </c>
      <c r="BZ39" s="71">
        <v>6000</v>
      </c>
      <c r="CA39" s="58">
        <f t="shared" ref="CA39" si="391">BZ39/$BG39</f>
        <v>2.88</v>
      </c>
      <c r="CB39" s="25">
        <v>2700</v>
      </c>
      <c r="CC39" s="58">
        <f t="shared" ref="CC39" si="392">CB39/$BG39</f>
        <v>1.2959999999999998</v>
      </c>
      <c r="CD39" s="25"/>
      <c r="CE39" s="58">
        <f t="shared" ref="CE39" si="393">CD39/$BG39</f>
        <v>0</v>
      </c>
      <c r="CF39" s="25">
        <f t="shared" si="383"/>
        <v>69981.079999999987</v>
      </c>
      <c r="CG39" s="58">
        <f t="shared" si="106"/>
        <v>2.7992431999999994</v>
      </c>
    </row>
    <row r="40" spans="1:85" ht="15.75" x14ac:dyDescent="0.25">
      <c r="A40" s="27" t="s">
        <v>124</v>
      </c>
      <c r="B40" s="25"/>
      <c r="C40" s="25"/>
      <c r="D40" s="33"/>
      <c r="E40" s="25"/>
      <c r="F40" s="25"/>
      <c r="G40" s="25"/>
      <c r="H40" s="58"/>
      <c r="I40" s="25"/>
      <c r="J40" s="58"/>
      <c r="K40" s="25">
        <v>4029</v>
      </c>
      <c r="L40" s="58"/>
      <c r="M40" s="25"/>
      <c r="N40" s="58"/>
      <c r="O40" s="64">
        <v>4821</v>
      </c>
      <c r="P40" s="58" t="e">
        <f t="shared" si="15"/>
        <v>#DIV/0!</v>
      </c>
      <c r="Q40" s="64">
        <v>10273.14</v>
      </c>
      <c r="R40" s="58" t="e">
        <f t="shared" si="357"/>
        <v>#DIV/0!</v>
      </c>
      <c r="S40" s="64">
        <v>663.6</v>
      </c>
      <c r="T40" s="58" t="e">
        <f t="shared" si="358"/>
        <v>#DIV/0!</v>
      </c>
      <c r="U40" s="64"/>
      <c r="V40" s="58" t="e">
        <f t="shared" si="359"/>
        <v>#DIV/0!</v>
      </c>
      <c r="W40" s="64"/>
      <c r="X40" s="58" t="e">
        <f t="shared" si="360"/>
        <v>#DIV/0!</v>
      </c>
      <c r="Y40" s="25">
        <f t="shared" si="20"/>
        <v>19786.739999999998</v>
      </c>
      <c r="Z40" s="58"/>
      <c r="AA40" s="25">
        <f t="shared" si="51"/>
        <v>2198.5266666666666</v>
      </c>
      <c r="AB40" s="71">
        <v>0</v>
      </c>
      <c r="AD40" s="69"/>
      <c r="AE40" t="s">
        <v>142</v>
      </c>
      <c r="AG40" s="25"/>
      <c r="AH40" s="58" t="e">
        <f t="shared" si="0"/>
        <v>#DIV/0!</v>
      </c>
      <c r="AI40" s="25"/>
      <c r="AJ40" s="58" t="e">
        <f t="shared" ref="AJ40" si="394">AI40/$AB40</f>
        <v>#DIV/0!</v>
      </c>
      <c r="AK40" s="25"/>
      <c r="AL40" s="58" t="e">
        <f t="shared" si="53"/>
        <v>#DIV/0!</v>
      </c>
      <c r="AM40" s="25"/>
      <c r="AN40" s="58" t="e">
        <f t="shared" si="54"/>
        <v>#DIV/0!</v>
      </c>
      <c r="AO40" s="25"/>
      <c r="AP40" s="58" t="e">
        <f t="shared" si="55"/>
        <v>#DIV/0!</v>
      </c>
      <c r="AQ40" s="25"/>
      <c r="AR40" s="58" t="e">
        <f t="shared" si="56"/>
        <v>#DIV/0!</v>
      </c>
      <c r="AS40" s="25"/>
      <c r="AT40" s="58" t="e">
        <f t="shared" si="57"/>
        <v>#DIV/0!</v>
      </c>
      <c r="AU40" s="25"/>
      <c r="AV40" s="58" t="e">
        <f t="shared" si="58"/>
        <v>#DIV/0!</v>
      </c>
      <c r="AW40" s="25"/>
      <c r="AX40" s="58" t="e">
        <f t="shared" si="59"/>
        <v>#DIV/0!</v>
      </c>
      <c r="AY40" s="25"/>
      <c r="AZ40" s="58" t="e">
        <f t="shared" si="60"/>
        <v>#DIV/0!</v>
      </c>
      <c r="BA40" s="25">
        <f t="shared" si="31"/>
        <v>0</v>
      </c>
      <c r="BB40" s="58" t="e">
        <f t="shared" si="32"/>
        <v>#DIV/0!</v>
      </c>
      <c r="BC40" s="25">
        <f t="shared" si="33"/>
        <v>0</v>
      </c>
      <c r="BD40" s="25"/>
      <c r="BE40" s="25">
        <f t="shared" si="34"/>
        <v>0</v>
      </c>
      <c r="BF40" s="128">
        <v>0</v>
      </c>
      <c r="BG40" s="128">
        <f t="shared" si="35"/>
        <v>0</v>
      </c>
      <c r="BH40" s="71"/>
      <c r="BI40" s="140" t="e">
        <f t="shared" si="36"/>
        <v>#DIV/0!</v>
      </c>
      <c r="BJ40" s="71"/>
      <c r="BK40" s="58" t="e">
        <f t="shared" si="36"/>
        <v>#DIV/0!</v>
      </c>
      <c r="BL40" s="25">
        <v>11091.01</v>
      </c>
      <c r="BM40" s="58" t="e">
        <f t="shared" ref="BM40" si="395">BL40/$BG40</f>
        <v>#DIV/0!</v>
      </c>
      <c r="BN40" s="25">
        <v>8969</v>
      </c>
      <c r="BO40" s="58" t="e">
        <f t="shared" ref="BO40" si="396">BN40/$BG40</f>
        <v>#DIV/0!</v>
      </c>
      <c r="BP40" s="25"/>
      <c r="BQ40" s="58" t="e">
        <f t="shared" ref="BQ40" si="397">BP40/$BG40</f>
        <v>#DIV/0!</v>
      </c>
      <c r="BR40" s="25"/>
      <c r="BS40" s="58" t="e">
        <f t="shared" ref="BS40" si="398">BR40/$BG40</f>
        <v>#DIV/0!</v>
      </c>
      <c r="BT40" s="25"/>
      <c r="BU40" s="58" t="e">
        <f t="shared" ref="BU40" si="399">BT40/$BG40</f>
        <v>#DIV/0!</v>
      </c>
      <c r="BV40" s="25">
        <v>580</v>
      </c>
      <c r="BW40" s="58" t="e">
        <f t="shared" ref="BW40" si="400">BV40/$BG40</f>
        <v>#DIV/0!</v>
      </c>
      <c r="BX40" s="25"/>
      <c r="BY40" s="58" t="e">
        <f t="shared" ref="BY40" si="401">BX40/$BG40</f>
        <v>#DIV/0!</v>
      </c>
      <c r="BZ40" s="71"/>
      <c r="CA40" s="58" t="e">
        <f t="shared" ref="CA40" si="402">BZ40/$BG40</f>
        <v>#DIV/0!</v>
      </c>
      <c r="CB40" s="25"/>
      <c r="CC40" s="58" t="e">
        <f t="shared" ref="CC40" si="403">CB40/$BG40</f>
        <v>#DIV/0!</v>
      </c>
      <c r="CD40" s="25"/>
      <c r="CE40" s="58" t="e">
        <f t="shared" ref="CE40" si="404">CD40/$BG40</f>
        <v>#DIV/0!</v>
      </c>
      <c r="CF40" s="25">
        <f t="shared" si="383"/>
        <v>20640.010000000002</v>
      </c>
      <c r="CG40" s="58" t="e">
        <f t="shared" si="106"/>
        <v>#DIV/0!</v>
      </c>
    </row>
    <row r="41" spans="1:85" ht="15.75" x14ac:dyDescent="0.25">
      <c r="A41" s="27" t="s">
        <v>158</v>
      </c>
      <c r="B41" s="25"/>
      <c r="C41" s="25"/>
      <c r="D41" s="33"/>
      <c r="E41" s="25">
        <v>36500</v>
      </c>
      <c r="F41" s="25">
        <f t="shared" si="290"/>
        <v>3041.6666666666665</v>
      </c>
      <c r="G41" s="25"/>
      <c r="H41" s="58">
        <f t="shared" si="11"/>
        <v>0</v>
      </c>
      <c r="I41" s="25"/>
      <c r="J41" s="58">
        <f t="shared" si="12"/>
        <v>0</v>
      </c>
      <c r="K41" s="25"/>
      <c r="L41" s="58">
        <f t="shared" si="13"/>
        <v>0</v>
      </c>
      <c r="M41" s="25"/>
      <c r="N41" s="58">
        <f t="shared" si="14"/>
        <v>0</v>
      </c>
      <c r="O41" s="64"/>
      <c r="P41" s="58">
        <f t="shared" si="15"/>
        <v>0</v>
      </c>
      <c r="Q41" s="64"/>
      <c r="R41" s="58">
        <f t="shared" si="357"/>
        <v>0</v>
      </c>
      <c r="S41" s="64"/>
      <c r="T41" s="58">
        <f t="shared" si="358"/>
        <v>0</v>
      </c>
      <c r="U41" s="64"/>
      <c r="V41" s="58">
        <f t="shared" si="359"/>
        <v>0</v>
      </c>
      <c r="W41" s="64"/>
      <c r="X41" s="58">
        <f t="shared" si="360"/>
        <v>0</v>
      </c>
      <c r="Y41" s="25">
        <f t="shared" si="20"/>
        <v>0</v>
      </c>
      <c r="Z41" s="58">
        <f t="shared" si="21"/>
        <v>0</v>
      </c>
      <c r="AA41" s="25">
        <f t="shared" si="51"/>
        <v>0</v>
      </c>
      <c r="AB41" s="71">
        <f>17570/12</f>
        <v>1464.1666666666667</v>
      </c>
      <c r="AD41" s="69"/>
      <c r="AE41" t="s">
        <v>159</v>
      </c>
      <c r="AG41" s="25"/>
      <c r="AH41" s="58">
        <f t="shared" si="0"/>
        <v>0</v>
      </c>
      <c r="AI41" s="25"/>
      <c r="AJ41" s="58">
        <f t="shared" ref="AJ41" si="405">AI41/$AB41</f>
        <v>0</v>
      </c>
      <c r="AK41" s="25"/>
      <c r="AL41" s="58">
        <f t="shared" si="53"/>
        <v>0</v>
      </c>
      <c r="AM41" s="25"/>
      <c r="AN41" s="58">
        <f t="shared" si="54"/>
        <v>0</v>
      </c>
      <c r="AO41" s="25"/>
      <c r="AP41" s="58">
        <f t="shared" si="55"/>
        <v>0</v>
      </c>
      <c r="AQ41" s="25"/>
      <c r="AR41" s="58">
        <f t="shared" si="56"/>
        <v>0</v>
      </c>
      <c r="AS41" s="25"/>
      <c r="AT41" s="58">
        <f t="shared" si="57"/>
        <v>0</v>
      </c>
      <c r="AU41" s="25"/>
      <c r="AV41" s="58">
        <f t="shared" si="58"/>
        <v>0</v>
      </c>
      <c r="AW41" s="25"/>
      <c r="AX41" s="58">
        <f t="shared" si="59"/>
        <v>0</v>
      </c>
      <c r="AY41" s="25"/>
      <c r="AZ41" s="58">
        <f t="shared" si="60"/>
        <v>0</v>
      </c>
      <c r="BA41" s="25">
        <f t="shared" si="31"/>
        <v>0</v>
      </c>
      <c r="BB41" s="58">
        <f t="shared" si="32"/>
        <v>0</v>
      </c>
      <c r="BC41" s="25">
        <f t="shared" si="33"/>
        <v>0</v>
      </c>
      <c r="BD41" s="25">
        <f>AB41*BA1</f>
        <v>1522.7333333333336</v>
      </c>
      <c r="BE41" s="25">
        <f t="shared" si="34"/>
        <v>18272.800000000003</v>
      </c>
      <c r="BF41" s="128">
        <v>0</v>
      </c>
      <c r="BG41" s="128">
        <f t="shared" si="35"/>
        <v>0</v>
      </c>
      <c r="BH41" s="25"/>
      <c r="BI41" s="58" t="e">
        <f t="shared" si="36"/>
        <v>#DIV/0!</v>
      </c>
      <c r="BJ41" s="25"/>
      <c r="BK41" s="58" t="e">
        <f t="shared" si="36"/>
        <v>#DIV/0!</v>
      </c>
      <c r="BL41" s="25"/>
      <c r="BM41" s="58" t="e">
        <f t="shared" ref="BM41" si="406">BL41/$BG41</f>
        <v>#DIV/0!</v>
      </c>
      <c r="BN41" s="25"/>
      <c r="BO41" s="58" t="e">
        <f t="shared" ref="BO41" si="407">BN41/$BG41</f>
        <v>#DIV/0!</v>
      </c>
      <c r="BP41" s="25"/>
      <c r="BQ41" s="58" t="e">
        <f t="shared" ref="BQ41" si="408">BP41/$BG41</f>
        <v>#DIV/0!</v>
      </c>
      <c r="BR41" s="25"/>
      <c r="BS41" s="58" t="e">
        <f t="shared" ref="BS41" si="409">BR41/$BG41</f>
        <v>#DIV/0!</v>
      </c>
      <c r="BT41" s="25"/>
      <c r="BU41" s="58" t="e">
        <f t="shared" ref="BU41" si="410">BT41/$BG41</f>
        <v>#DIV/0!</v>
      </c>
      <c r="BV41" s="25"/>
      <c r="BW41" s="58" t="e">
        <f t="shared" ref="BW41" si="411">BV41/$BG41</f>
        <v>#DIV/0!</v>
      </c>
      <c r="BX41" s="25"/>
      <c r="BY41" s="58" t="e">
        <f t="shared" ref="BY41" si="412">BX41/$BG41</f>
        <v>#DIV/0!</v>
      </c>
      <c r="BZ41" s="71"/>
      <c r="CA41" s="58" t="e">
        <f t="shared" ref="CA41" si="413">BZ41/$BG41</f>
        <v>#DIV/0!</v>
      </c>
      <c r="CB41" s="25"/>
      <c r="CC41" s="58" t="e">
        <f t="shared" ref="CC41" si="414">CB41/$BG41</f>
        <v>#DIV/0!</v>
      </c>
      <c r="CD41" s="25"/>
      <c r="CE41" s="58" t="e">
        <f t="shared" ref="CE41" si="415">CD41/$BG41</f>
        <v>#DIV/0!</v>
      </c>
      <c r="CF41" s="25">
        <f t="shared" si="383"/>
        <v>0</v>
      </c>
      <c r="CG41" s="58" t="e">
        <f t="shared" si="106"/>
        <v>#DIV/0!</v>
      </c>
    </row>
    <row r="42" spans="1:85" ht="15.75" x14ac:dyDescent="0.25">
      <c r="A42" s="27" t="s">
        <v>21</v>
      </c>
      <c r="B42" s="25">
        <v>18846.83625</v>
      </c>
      <c r="C42" s="26">
        <v>32878.26</v>
      </c>
      <c r="D42" s="26">
        <v>43837.680000000008</v>
      </c>
      <c r="E42" s="25">
        <v>9000</v>
      </c>
      <c r="F42" s="25">
        <f>E42/12</f>
        <v>750</v>
      </c>
      <c r="G42" s="25">
        <v>1825</v>
      </c>
      <c r="H42" s="58">
        <f>G42/F42</f>
        <v>2.4333333333333331</v>
      </c>
      <c r="I42" s="25">
        <v>2369</v>
      </c>
      <c r="J42" s="58">
        <f>I42/F42</f>
        <v>3.1586666666666665</v>
      </c>
      <c r="K42" s="25">
        <v>1444</v>
      </c>
      <c r="L42" s="58">
        <f>K42/F42</f>
        <v>1.9253333333333333</v>
      </c>
      <c r="M42" s="25">
        <v>705</v>
      </c>
      <c r="N42" s="58">
        <f>M42/F42</f>
        <v>0.94</v>
      </c>
      <c r="O42" s="64">
        <v>200</v>
      </c>
      <c r="P42" s="58">
        <f>O42/$F42</f>
        <v>0.26666666666666666</v>
      </c>
      <c r="Q42" s="64"/>
      <c r="R42" s="58">
        <f>Q42/$F42</f>
        <v>0</v>
      </c>
      <c r="S42" s="64">
        <v>147</v>
      </c>
      <c r="T42" s="58">
        <f>S42/$F42</f>
        <v>0.19600000000000001</v>
      </c>
      <c r="U42" s="64">
        <v>400</v>
      </c>
      <c r="V42" s="58">
        <f>U42/$F42</f>
        <v>0.53333333333333333</v>
      </c>
      <c r="W42" s="64">
        <v>4410</v>
      </c>
      <c r="X42" s="58">
        <f>W42/$F42</f>
        <v>5.88</v>
      </c>
      <c r="Y42" s="25">
        <f>G42+I42+K42+M42+O42+Q42+S42+U42+W42</f>
        <v>11500</v>
      </c>
      <c r="Z42" s="58">
        <f>Y42/$E42</f>
        <v>1.2777777777777777</v>
      </c>
      <c r="AA42" s="25">
        <f>(Y42/9)</f>
        <v>1277.7777777777778</v>
      </c>
      <c r="AB42" s="71">
        <v>0</v>
      </c>
      <c r="AD42" s="69">
        <f>AB42/AA42</f>
        <v>0</v>
      </c>
      <c r="AE42" t="s">
        <v>160</v>
      </c>
      <c r="AG42" s="25">
        <v>1324.16</v>
      </c>
      <c r="AH42" s="58" t="e">
        <f>AG42/$AB42</f>
        <v>#DIV/0!</v>
      </c>
      <c r="AI42" s="25">
        <v>556</v>
      </c>
      <c r="AJ42" s="58" t="e">
        <f>AI42/$AB42</f>
        <v>#DIV/0!</v>
      </c>
      <c r="AK42" s="25"/>
      <c r="AL42" s="58" t="e">
        <f>AK42/$AB42</f>
        <v>#DIV/0!</v>
      </c>
      <c r="AM42" s="25">
        <v>470</v>
      </c>
      <c r="AN42" s="58" t="e">
        <f>AM42/$AB42</f>
        <v>#DIV/0!</v>
      </c>
      <c r="AO42" s="25"/>
      <c r="AP42" s="58" t="e">
        <f>AO42/$AB42</f>
        <v>#DIV/0!</v>
      </c>
      <c r="AQ42" s="25"/>
      <c r="AR42" s="58" t="e">
        <f>AQ42/$AB42</f>
        <v>#DIV/0!</v>
      </c>
      <c r="AS42" s="25"/>
      <c r="AT42" s="58" t="e">
        <f>AS42/$AB42</f>
        <v>#DIV/0!</v>
      </c>
      <c r="AU42" s="25"/>
      <c r="AV42" s="58" t="e">
        <f>AU42/$AB42</f>
        <v>#DIV/0!</v>
      </c>
      <c r="AW42" s="25">
        <v>480</v>
      </c>
      <c r="AX42" s="58" t="e">
        <f>AW42/$AB42</f>
        <v>#DIV/0!</v>
      </c>
      <c r="AY42" s="25">
        <v>905</v>
      </c>
      <c r="AZ42" s="58" t="e">
        <f>AY42/$AB42</f>
        <v>#DIV/0!</v>
      </c>
      <c r="BA42" s="25">
        <f>AG42+AI42+AK42+AM42+AO42+AQ42+AS42+AU42+AW42+AY42</f>
        <v>3735.16</v>
      </c>
      <c r="BB42" s="58" t="e">
        <f>BA42/(AB42*12)</f>
        <v>#DIV/0!</v>
      </c>
      <c r="BC42" s="25">
        <f>BA42/9</f>
        <v>415.01777777777778</v>
      </c>
      <c r="BD42" s="25">
        <f>BC42*BA1</f>
        <v>431.61848888888892</v>
      </c>
      <c r="BE42" s="25">
        <f>BD42*12</f>
        <v>5179.4218666666675</v>
      </c>
      <c r="BF42" s="128">
        <v>11000</v>
      </c>
      <c r="BG42" s="128">
        <f t="shared" si="35"/>
        <v>916.66666666666663</v>
      </c>
      <c r="BH42" s="25"/>
      <c r="BI42" s="58">
        <f t="shared" si="36"/>
        <v>0</v>
      </c>
      <c r="BJ42" s="25"/>
      <c r="BK42" s="58">
        <f t="shared" si="36"/>
        <v>0</v>
      </c>
      <c r="BL42" s="25"/>
      <c r="BM42" s="58">
        <f t="shared" ref="BM42" si="416">BL42/$BG42</f>
        <v>0</v>
      </c>
      <c r="BN42" s="25"/>
      <c r="BO42" s="58">
        <f t="shared" ref="BO42" si="417">BN42/$BG42</f>
        <v>0</v>
      </c>
      <c r="BP42" s="25"/>
      <c r="BQ42" s="58">
        <f t="shared" ref="BQ42" si="418">BP42/$BG42</f>
        <v>0</v>
      </c>
      <c r="BR42" s="25"/>
      <c r="BS42" s="58">
        <f t="shared" ref="BS42" si="419">BR42/$BG42</f>
        <v>0</v>
      </c>
      <c r="BT42" s="25"/>
      <c r="BU42" s="58">
        <f t="shared" ref="BU42" si="420">BT42/$BG42</f>
        <v>0</v>
      </c>
      <c r="BV42" s="25"/>
      <c r="BW42" s="58">
        <f t="shared" ref="BW42" si="421">BV42/$BG42</f>
        <v>0</v>
      </c>
      <c r="BX42" s="25"/>
      <c r="BY42" s="58">
        <f t="shared" ref="BY42" si="422">BX42/$BG42</f>
        <v>0</v>
      </c>
      <c r="BZ42" s="71"/>
      <c r="CA42" s="58">
        <f t="shared" ref="CA42" si="423">BZ42/$BG42</f>
        <v>0</v>
      </c>
      <c r="CB42" s="25"/>
      <c r="CC42" s="58">
        <f t="shared" ref="CC42" si="424">CB42/$BG42</f>
        <v>0</v>
      </c>
      <c r="CD42" s="25"/>
      <c r="CE42" s="58">
        <f t="shared" ref="CE42" si="425">CD42/$BG42</f>
        <v>0</v>
      </c>
      <c r="CF42" s="25">
        <f t="shared" si="383"/>
        <v>0</v>
      </c>
      <c r="CG42" s="58">
        <f t="shared" si="106"/>
        <v>0</v>
      </c>
    </row>
    <row r="43" spans="1:85" ht="15.75" x14ac:dyDescent="0.25">
      <c r="A43" s="32" t="s">
        <v>32</v>
      </c>
      <c r="B43" s="25">
        <v>190000</v>
      </c>
      <c r="C43" s="25">
        <v>117636.65</v>
      </c>
      <c r="D43" s="25">
        <v>156848.86666666667</v>
      </c>
      <c r="E43" s="25">
        <v>164691.31</v>
      </c>
      <c r="F43" s="25">
        <f t="shared" si="290"/>
        <v>13724.275833333333</v>
      </c>
      <c r="G43" s="25">
        <v>11021.33</v>
      </c>
      <c r="H43" s="58">
        <f t="shared" si="11"/>
        <v>0.80305366445867732</v>
      </c>
      <c r="I43" s="25">
        <v>2618.91</v>
      </c>
      <c r="J43" s="58">
        <f t="shared" si="12"/>
        <v>0.19082318308112309</v>
      </c>
      <c r="K43" s="25">
        <f>16304.97</f>
        <v>16304.97</v>
      </c>
      <c r="L43" s="58">
        <f t="shared" si="13"/>
        <v>1.1880386402901282</v>
      </c>
      <c r="M43" s="25">
        <v>19730.48</v>
      </c>
      <c r="N43" s="58">
        <f t="shared" si="14"/>
        <v>1.4376335946322851</v>
      </c>
      <c r="O43" s="64">
        <v>16418.509999999998</v>
      </c>
      <c r="P43" s="58">
        <f t="shared" si="15"/>
        <v>1.1963115722377822</v>
      </c>
      <c r="Q43" s="64">
        <v>22709.15</v>
      </c>
      <c r="R43" s="58">
        <f t="shared" si="357"/>
        <v>1.6546701826586965</v>
      </c>
      <c r="S43" s="64">
        <v>16418.509999999998</v>
      </c>
      <c r="T43" s="58">
        <f t="shared" si="358"/>
        <v>1.1963115722377822</v>
      </c>
      <c r="U43" s="64">
        <v>19284</v>
      </c>
      <c r="V43" s="58">
        <f t="shared" si="359"/>
        <v>1.4051014592087463</v>
      </c>
      <c r="W43" s="64">
        <v>19392.5</v>
      </c>
      <c r="X43" s="58">
        <f t="shared" si="360"/>
        <v>1.4130071586655057</v>
      </c>
      <c r="Y43" s="25">
        <f t="shared" si="20"/>
        <v>143898.35999999999</v>
      </c>
      <c r="Z43" s="58">
        <f t="shared" si="21"/>
        <v>0.87374591895589382</v>
      </c>
      <c r="AA43" s="25">
        <f t="shared" si="51"/>
        <v>15988.706666666665</v>
      </c>
      <c r="AB43" s="71">
        <v>18600</v>
      </c>
      <c r="AD43" s="69">
        <f t="shared" si="93"/>
        <v>1.1633211108173853</v>
      </c>
      <c r="AE43" t="s">
        <v>162</v>
      </c>
      <c r="AG43" s="25">
        <v>16580</v>
      </c>
      <c r="AH43" s="58">
        <f t="shared" si="0"/>
        <v>0.89139784946236555</v>
      </c>
      <c r="AI43" s="25">
        <v>19590</v>
      </c>
      <c r="AJ43" s="58">
        <f t="shared" ref="AJ43" si="426">AI43/$AB43</f>
        <v>1.0532258064516129</v>
      </c>
      <c r="AK43" s="25"/>
      <c r="AL43" s="58">
        <f t="shared" si="53"/>
        <v>0</v>
      </c>
      <c r="AM43" s="25">
        <v>19590</v>
      </c>
      <c r="AN43" s="58">
        <f t="shared" si="54"/>
        <v>1.0532258064516129</v>
      </c>
      <c r="AO43" s="25"/>
      <c r="AP43" s="58">
        <f t="shared" si="55"/>
        <v>0</v>
      </c>
      <c r="AQ43" s="25">
        <v>2700</v>
      </c>
      <c r="AR43" s="58">
        <f t="shared" si="56"/>
        <v>0.14516129032258066</v>
      </c>
      <c r="AS43" s="25">
        <v>102.93</v>
      </c>
      <c r="AT43" s="58">
        <f t="shared" si="57"/>
        <v>5.5338709677419358E-3</v>
      </c>
      <c r="AU43" s="25"/>
      <c r="AV43" s="58">
        <f t="shared" si="58"/>
        <v>0</v>
      </c>
      <c r="AW43" s="25">
        <v>19528</v>
      </c>
      <c r="AX43" s="58">
        <f t="shared" si="59"/>
        <v>1.0498924731182795</v>
      </c>
      <c r="AY43" s="25">
        <v>20244.330000000002</v>
      </c>
      <c r="AZ43" s="58">
        <f t="shared" si="60"/>
        <v>1.0884048387096774</v>
      </c>
      <c r="BA43" s="25">
        <f t="shared" si="31"/>
        <v>98335.26</v>
      </c>
      <c r="BB43" s="58">
        <f t="shared" si="32"/>
        <v>0.44057016129032256</v>
      </c>
      <c r="BC43" s="25">
        <f t="shared" si="33"/>
        <v>10926.14</v>
      </c>
      <c r="BD43" s="25">
        <f>AB43*BA1</f>
        <v>19344</v>
      </c>
      <c r="BE43" s="25">
        <f t="shared" si="34"/>
        <v>232128</v>
      </c>
      <c r="BF43" s="128">
        <v>263400</v>
      </c>
      <c r="BG43" s="128">
        <f t="shared" si="35"/>
        <v>21950</v>
      </c>
      <c r="BH43" s="71"/>
      <c r="BI43" s="140">
        <f t="shared" si="36"/>
        <v>0</v>
      </c>
      <c r="BJ43" s="71">
        <v>5530</v>
      </c>
      <c r="BK43" s="58">
        <f t="shared" si="36"/>
        <v>0.25193621867881549</v>
      </c>
      <c r="BL43" s="25">
        <v>17451.990000000002</v>
      </c>
      <c r="BM43" s="58">
        <f t="shared" ref="BM43" si="427">BL43/$BG43</f>
        <v>0.79507927107061516</v>
      </c>
      <c r="BN43" s="25">
        <v>18261.09</v>
      </c>
      <c r="BO43" s="58">
        <f t="shared" ref="BO43" si="428">BN43/$BG43</f>
        <v>0.83194031890660591</v>
      </c>
      <c r="BP43" s="25">
        <v>19300</v>
      </c>
      <c r="BQ43" s="58">
        <f t="shared" ref="BQ43" si="429">BP43/$BG43</f>
        <v>0.87927107061503418</v>
      </c>
      <c r="BR43" s="25">
        <v>15850</v>
      </c>
      <c r="BS43" s="58">
        <f t="shared" ref="BS43" si="430">BR43/$BG43</f>
        <v>0.72209567198177671</v>
      </c>
      <c r="BT43" s="25">
        <v>11860</v>
      </c>
      <c r="BU43" s="58">
        <f t="shared" ref="BU43" si="431">BT43/$BG43</f>
        <v>0.54031890660592252</v>
      </c>
      <c r="BV43" s="25">
        <v>16242.34</v>
      </c>
      <c r="BW43" s="58">
        <f t="shared" ref="BW43" si="432">BV43/$BG43</f>
        <v>0.73996993166287017</v>
      </c>
      <c r="BX43" s="25">
        <v>14579.93</v>
      </c>
      <c r="BY43" s="58">
        <f t="shared" ref="BY43" si="433">BX43/$BG43</f>
        <v>0.66423371298405465</v>
      </c>
      <c r="BZ43" s="71">
        <v>25240.02</v>
      </c>
      <c r="CA43" s="58">
        <f t="shared" ref="CA43" si="434">BZ43/$BG43</f>
        <v>1.1498870159453303</v>
      </c>
      <c r="CB43" s="25">
        <v>14213.8</v>
      </c>
      <c r="CC43" s="58">
        <f t="shared" ref="CC43" si="435">CB43/$BG43</f>
        <v>0.64755353075170841</v>
      </c>
      <c r="CD43" s="25">
        <v>19971.400000000001</v>
      </c>
      <c r="CE43" s="58">
        <f t="shared" ref="CE43" si="436">CD43/$BG43</f>
        <v>0.90985876993166293</v>
      </c>
      <c r="CF43" s="25">
        <f t="shared" si="383"/>
        <v>178500.56999999998</v>
      </c>
      <c r="CG43" s="58">
        <f t="shared" si="106"/>
        <v>0.67767870159453292</v>
      </c>
    </row>
    <row r="44" spans="1:85" ht="15.75" x14ac:dyDescent="0.25">
      <c r="A44" s="18" t="s">
        <v>213</v>
      </c>
      <c r="B44" s="25"/>
      <c r="C44" s="26"/>
      <c r="D44" s="26"/>
      <c r="E44" s="25"/>
      <c r="F44" s="25"/>
      <c r="G44" s="25"/>
      <c r="H44" s="58"/>
      <c r="I44" s="25"/>
      <c r="J44" s="58"/>
      <c r="K44" s="25"/>
      <c r="L44" s="58"/>
      <c r="M44" s="25"/>
      <c r="N44" s="58"/>
      <c r="O44" s="64"/>
      <c r="P44" s="58"/>
      <c r="Q44" s="64"/>
      <c r="R44" s="58"/>
      <c r="S44" s="64"/>
      <c r="T44" s="58"/>
      <c r="U44" s="64"/>
      <c r="V44" s="58"/>
      <c r="W44" s="64"/>
      <c r="X44" s="58"/>
      <c r="Y44" s="25"/>
      <c r="Z44" s="58"/>
      <c r="AA44" s="25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32">
        <f>SUM(BF45:BF48)</f>
        <v>62980.729999999996</v>
      </c>
      <c r="BG44" s="132">
        <f t="shared" si="35"/>
        <v>5248.394166666666</v>
      </c>
      <c r="BH44" s="19">
        <f>SUM(BH45:BH48)</f>
        <v>0</v>
      </c>
      <c r="BI44" s="18">
        <f t="shared" si="36"/>
        <v>0</v>
      </c>
      <c r="BJ44" s="19">
        <f>SUM(BJ45:BJ48)</f>
        <v>0</v>
      </c>
      <c r="BK44" s="18">
        <f t="shared" si="36"/>
        <v>0</v>
      </c>
      <c r="BL44" s="19">
        <f>SUM(BL45:BL48)</f>
        <v>0</v>
      </c>
      <c r="BM44" s="18">
        <f t="shared" ref="BM44" si="437">BL44/$BG44</f>
        <v>0</v>
      </c>
      <c r="BN44" s="19">
        <f>SUM(BN45:BN48)</f>
        <v>0</v>
      </c>
      <c r="BO44" s="18">
        <f t="shared" ref="BO44" si="438">BN44/$BG44</f>
        <v>0</v>
      </c>
      <c r="BP44" s="19">
        <f>SUM(BP45:BP48)</f>
        <v>0</v>
      </c>
      <c r="BQ44" s="18">
        <f t="shared" ref="BQ44" si="439">BP44/$BG44</f>
        <v>0</v>
      </c>
      <c r="BR44" s="19">
        <f>SUM(BR45:BR48)</f>
        <v>0</v>
      </c>
      <c r="BS44" s="18">
        <f t="shared" ref="BS44" si="440">BR44/$BG44</f>
        <v>0</v>
      </c>
      <c r="BT44" s="19">
        <f>SUM(BT45:BT48)</f>
        <v>0</v>
      </c>
      <c r="BU44" s="18">
        <f t="shared" ref="BU44" si="441">BT44/$BG44</f>
        <v>0</v>
      </c>
      <c r="BV44" s="19">
        <f>SUM(BV45:BV48)</f>
        <v>0</v>
      </c>
      <c r="BW44" s="18">
        <f t="shared" ref="BW44" si="442">BV44/$BG44</f>
        <v>0</v>
      </c>
      <c r="BX44" s="19">
        <f>SUM(BX45:BX48)</f>
        <v>80</v>
      </c>
      <c r="BY44" s="18">
        <f t="shared" ref="BY44" si="443">BX44/$BG44</f>
        <v>1.5242757586328391E-2</v>
      </c>
      <c r="BZ44" s="19">
        <v>2155</v>
      </c>
      <c r="CA44" s="18">
        <f t="shared" ref="CA44" si="444">BZ44/$BG44</f>
        <v>0.41060178248172102</v>
      </c>
      <c r="CB44" s="19">
        <f>SUM(CB45:CB48)</f>
        <v>1920</v>
      </c>
      <c r="CC44" s="18">
        <f t="shared" ref="CC44" si="445">CB44/$BG44</f>
        <v>0.36582618207188139</v>
      </c>
      <c r="CD44" s="19">
        <f>SUM(CD45:CD48)</f>
        <v>28854</v>
      </c>
      <c r="CE44" s="18">
        <f t="shared" ref="CE44" si="446">CD44/$BG44</f>
        <v>5.497681592448993</v>
      </c>
      <c r="CF44" s="19">
        <f>SUM(CF45:CF48)</f>
        <v>33009</v>
      </c>
      <c r="CG44" s="18">
        <f t="shared" si="106"/>
        <v>0.52411269288241025</v>
      </c>
    </row>
    <row r="45" spans="1:85" ht="15.75" x14ac:dyDescent="0.25">
      <c r="A45" s="27" t="s">
        <v>13</v>
      </c>
      <c r="B45" s="25">
        <v>2000</v>
      </c>
      <c r="C45" s="26">
        <v>100</v>
      </c>
      <c r="D45" s="26">
        <v>100</v>
      </c>
      <c r="E45" s="25">
        <v>3000</v>
      </c>
      <c r="F45" s="25">
        <f>E45/12</f>
        <v>250</v>
      </c>
      <c r="G45" s="25"/>
      <c r="H45" s="58">
        <f>G45/F45</f>
        <v>0</v>
      </c>
      <c r="I45" s="25"/>
      <c r="J45" s="58">
        <f>I45/F45</f>
        <v>0</v>
      </c>
      <c r="K45" s="25"/>
      <c r="L45" s="58">
        <f>K45/F45</f>
        <v>0</v>
      </c>
      <c r="M45" s="25"/>
      <c r="N45" s="58">
        <f>M45/F45</f>
        <v>0</v>
      </c>
      <c r="O45" s="64"/>
      <c r="P45" s="58">
        <f>O45/$F45</f>
        <v>0</v>
      </c>
      <c r="Q45" s="64"/>
      <c r="R45" s="58">
        <f>Q45/$F45</f>
        <v>0</v>
      </c>
      <c r="S45" s="64"/>
      <c r="T45" s="58">
        <f>S45/$F45</f>
        <v>0</v>
      </c>
      <c r="U45" s="64"/>
      <c r="V45" s="58">
        <f>U45/$F45</f>
        <v>0</v>
      </c>
      <c r="W45" s="64"/>
      <c r="X45" s="58">
        <f>W45/$F45</f>
        <v>0</v>
      </c>
      <c r="Y45" s="25">
        <f>G45+I45+K45+M45+O45+Q45+S45+U45+W45</f>
        <v>0</v>
      </c>
      <c r="Z45" s="58">
        <f>Y45/$E45</f>
        <v>0</v>
      </c>
      <c r="AA45" s="25">
        <f>(Y45/9)</f>
        <v>0</v>
      </c>
      <c r="AB45" s="25">
        <f>AA45*$AC$7</f>
        <v>0</v>
      </c>
      <c r="AD45" s="69"/>
      <c r="AE45" t="s">
        <v>136</v>
      </c>
      <c r="AG45" s="25"/>
      <c r="AH45" s="58" t="e">
        <f>AG45/$AB45</f>
        <v>#DIV/0!</v>
      </c>
      <c r="AI45" s="25"/>
      <c r="AJ45" s="58" t="e">
        <f>AI45/$AB45</f>
        <v>#DIV/0!</v>
      </c>
      <c r="AK45" s="25"/>
      <c r="AL45" s="58" t="e">
        <f>AK45/$AB45</f>
        <v>#DIV/0!</v>
      </c>
      <c r="AM45" s="25"/>
      <c r="AN45" s="58" t="e">
        <f>AM45/$AB45</f>
        <v>#DIV/0!</v>
      </c>
      <c r="AO45" s="25"/>
      <c r="AP45" s="58" t="e">
        <f>AO45/$AB45</f>
        <v>#DIV/0!</v>
      </c>
      <c r="AQ45" s="25"/>
      <c r="AR45" s="58" t="e">
        <f>AQ45/$AB45</f>
        <v>#DIV/0!</v>
      </c>
      <c r="AS45" s="25"/>
      <c r="AT45" s="58" t="e">
        <f>AS45/$AB45</f>
        <v>#DIV/0!</v>
      </c>
      <c r="AU45" s="25"/>
      <c r="AV45" s="58" t="e">
        <f>AU45/$AB45</f>
        <v>#DIV/0!</v>
      </c>
      <c r="AW45" s="25"/>
      <c r="AX45" s="58" t="e">
        <f>AW45/$AB45</f>
        <v>#DIV/0!</v>
      </c>
      <c r="AY45" s="25"/>
      <c r="AZ45" s="58" t="e">
        <f>AY45/$AB45</f>
        <v>#DIV/0!</v>
      </c>
      <c r="BA45" s="25">
        <f>AG45+AI45+AK45+AM45+AO45+AQ45+AS45+AU45+AW45+AY45</f>
        <v>0</v>
      </c>
      <c r="BB45" s="58" t="e">
        <f>BA45/(AB45*12)</f>
        <v>#DIV/0!</v>
      </c>
      <c r="BC45" s="25">
        <f>BA45/9</f>
        <v>0</v>
      </c>
      <c r="BD45" s="25">
        <v>0</v>
      </c>
      <c r="BE45" s="25">
        <f>BD45*12</f>
        <v>0</v>
      </c>
      <c r="BF45" s="128">
        <v>0</v>
      </c>
      <c r="BG45" s="128">
        <f t="shared" si="35"/>
        <v>0</v>
      </c>
      <c r="BH45" s="25"/>
      <c r="BI45" s="58" t="e">
        <f t="shared" si="36"/>
        <v>#DIV/0!</v>
      </c>
      <c r="BJ45" s="25"/>
      <c r="BK45" s="58" t="e">
        <f t="shared" si="36"/>
        <v>#DIV/0!</v>
      </c>
      <c r="BL45" s="25"/>
      <c r="BM45" s="58" t="e">
        <f t="shared" ref="BM45" si="447">BL45/$BG45</f>
        <v>#DIV/0!</v>
      </c>
      <c r="BN45" s="25"/>
      <c r="BO45" s="58" t="e">
        <f t="shared" ref="BO45" si="448">BN45/$BG45</f>
        <v>#DIV/0!</v>
      </c>
      <c r="BP45" s="25"/>
      <c r="BQ45" s="58" t="e">
        <f t="shared" ref="BQ45" si="449">BP45/$BG45</f>
        <v>#DIV/0!</v>
      </c>
      <c r="BR45" s="25"/>
      <c r="BS45" s="58" t="e">
        <f t="shared" ref="BS45" si="450">BR45/$BG45</f>
        <v>#DIV/0!</v>
      </c>
      <c r="BT45" s="25"/>
      <c r="BU45" s="58" t="e">
        <f t="shared" ref="BU45" si="451">BT45/$BG45</f>
        <v>#DIV/0!</v>
      </c>
      <c r="BV45" s="25"/>
      <c r="BW45" s="58" t="e">
        <f t="shared" ref="BW45" si="452">BV45/$BG45</f>
        <v>#DIV/0!</v>
      </c>
      <c r="BX45" s="25">
        <v>80</v>
      </c>
      <c r="BY45" s="58" t="e">
        <f t="shared" ref="BY45" si="453">BX45/$BG45</f>
        <v>#DIV/0!</v>
      </c>
      <c r="BZ45" s="71">
        <v>2155</v>
      </c>
      <c r="CA45" s="58" t="e">
        <f t="shared" ref="CA45" si="454">BZ45/$BG45</f>
        <v>#DIV/0!</v>
      </c>
      <c r="CB45" s="25"/>
      <c r="CC45" s="58" t="e">
        <f t="shared" ref="CC45" si="455">CB45/$BG45</f>
        <v>#DIV/0!</v>
      </c>
      <c r="CD45" s="25"/>
      <c r="CE45" s="58" t="e">
        <f t="shared" ref="CE45" si="456">CD45/$BG45</f>
        <v>#DIV/0!</v>
      </c>
      <c r="CF45" s="25">
        <f t="shared" ref="CF45:CF48" si="457">BH45+BJ45+BL45+BN45+BP45+BR45+BT45+BV45+BX45+BZ45+CB45+CD45</f>
        <v>2235</v>
      </c>
      <c r="CG45" s="58" t="e">
        <f t="shared" si="106"/>
        <v>#DIV/0!</v>
      </c>
    </row>
    <row r="46" spans="1:85" ht="15.75" x14ac:dyDescent="0.25">
      <c r="A46" s="27" t="s">
        <v>14</v>
      </c>
      <c r="B46" s="25">
        <v>22093.928174999997</v>
      </c>
      <c r="C46" s="26">
        <v>11720</v>
      </c>
      <c r="D46" s="26">
        <v>11720</v>
      </c>
      <c r="E46" s="25">
        <v>12306</v>
      </c>
      <c r="F46" s="25">
        <f>E46/12</f>
        <v>1025.5</v>
      </c>
      <c r="G46" s="25"/>
      <c r="H46" s="58">
        <f>G46/F46</f>
        <v>0</v>
      </c>
      <c r="I46" s="25"/>
      <c r="J46" s="58">
        <f>I46/F46</f>
        <v>0</v>
      </c>
      <c r="K46" s="25">
        <v>360</v>
      </c>
      <c r="L46" s="58">
        <f>K46/F46</f>
        <v>0.35104826913700632</v>
      </c>
      <c r="M46" s="25">
        <v>12249</v>
      </c>
      <c r="N46" s="58">
        <f>M46/F46</f>
        <v>11.944417357386641</v>
      </c>
      <c r="O46" s="64">
        <v>770</v>
      </c>
      <c r="P46" s="58">
        <f>O46/$F46</f>
        <v>0.75085324232081907</v>
      </c>
      <c r="Q46" s="64"/>
      <c r="R46" s="58">
        <f>Q46/$F46</f>
        <v>0</v>
      </c>
      <c r="S46" s="64"/>
      <c r="T46" s="58">
        <f>S46/$F46</f>
        <v>0</v>
      </c>
      <c r="U46" s="64"/>
      <c r="V46" s="58">
        <f>U46/$F46</f>
        <v>0</v>
      </c>
      <c r="W46" s="64"/>
      <c r="X46" s="58">
        <f>W46/$F46</f>
        <v>0</v>
      </c>
      <c r="Y46" s="25">
        <f>G46+I46+K46+M46+O46+Q46+S46+U46+W46</f>
        <v>13379</v>
      </c>
      <c r="Z46" s="58">
        <f>Y46/$E46</f>
        <v>1.0871932390703722</v>
      </c>
      <c r="AA46" s="25">
        <f>Y46/12</f>
        <v>1114.9166666666667</v>
      </c>
      <c r="AB46" s="25">
        <f>AA46*$AC$7</f>
        <v>1159.5133333333335</v>
      </c>
      <c r="AD46" s="69">
        <f>AB46/AA46</f>
        <v>1.04</v>
      </c>
      <c r="AE46" t="s">
        <v>137</v>
      </c>
      <c r="AG46" s="25"/>
      <c r="AH46" s="58">
        <f>AG46/$AB46</f>
        <v>0</v>
      </c>
      <c r="AI46" s="25"/>
      <c r="AJ46" s="58">
        <f>AI46/$AB46</f>
        <v>0</v>
      </c>
      <c r="AK46" s="25"/>
      <c r="AL46" s="58">
        <f>AK46/$AB46</f>
        <v>0</v>
      </c>
      <c r="AM46" s="25"/>
      <c r="AN46" s="58">
        <f>AM46/$AB46</f>
        <v>0</v>
      </c>
      <c r="AO46" s="25"/>
      <c r="AP46" s="58">
        <f>AO46/$AB46</f>
        <v>0</v>
      </c>
      <c r="AQ46" s="25"/>
      <c r="AR46" s="58">
        <f>AQ46/$AB46</f>
        <v>0</v>
      </c>
      <c r="AS46" s="25"/>
      <c r="AT46" s="58">
        <f>AS46/$AB46</f>
        <v>0</v>
      </c>
      <c r="AU46" s="25"/>
      <c r="AV46" s="58">
        <f>AU46/$AB46</f>
        <v>0</v>
      </c>
      <c r="AW46" s="25"/>
      <c r="AX46" s="58">
        <f>AW46/$AB46</f>
        <v>0</v>
      </c>
      <c r="AY46" s="25"/>
      <c r="AZ46" s="58">
        <f>AY46/$AB46</f>
        <v>0</v>
      </c>
      <c r="BA46" s="25">
        <f>AG46+AI46+AK46+AM46+AO46+AQ46+AS46+AU46+AW46+AY46</f>
        <v>0</v>
      </c>
      <c r="BB46" s="58">
        <f>BA46/(AB46*12)</f>
        <v>0</v>
      </c>
      <c r="BC46" s="25">
        <f>BA46/9</f>
        <v>0</v>
      </c>
      <c r="BD46" s="25">
        <f>AB46*BA1</f>
        <v>1205.893866666667</v>
      </c>
      <c r="BE46" s="25">
        <f>BD46*12</f>
        <v>14470.726400000003</v>
      </c>
      <c r="BF46" s="128">
        <v>14470.73</v>
      </c>
      <c r="BG46" s="128">
        <f t="shared" si="35"/>
        <v>1205.8941666666667</v>
      </c>
      <c r="BH46" s="25"/>
      <c r="BI46" s="58">
        <f t="shared" si="36"/>
        <v>0</v>
      </c>
      <c r="BJ46" s="25"/>
      <c r="BK46" s="58">
        <f t="shared" si="36"/>
        <v>0</v>
      </c>
      <c r="BL46" s="25"/>
      <c r="BM46" s="58">
        <f t="shared" ref="BM46" si="458">BL46/$BG46</f>
        <v>0</v>
      </c>
      <c r="BN46" s="25"/>
      <c r="BO46" s="58">
        <f t="shared" ref="BO46" si="459">BN46/$BG46</f>
        <v>0</v>
      </c>
      <c r="BP46" s="25"/>
      <c r="BQ46" s="58">
        <f t="shared" ref="BQ46" si="460">BP46/$BG46</f>
        <v>0</v>
      </c>
      <c r="BR46" s="25"/>
      <c r="BS46" s="58">
        <f t="shared" ref="BS46" si="461">BR46/$BG46</f>
        <v>0</v>
      </c>
      <c r="BT46" s="25"/>
      <c r="BU46" s="58">
        <f t="shared" ref="BU46" si="462">BT46/$BG46</f>
        <v>0</v>
      </c>
      <c r="BV46" s="25"/>
      <c r="BW46" s="58">
        <f t="shared" ref="BW46" si="463">BV46/$BG46</f>
        <v>0</v>
      </c>
      <c r="BX46" s="25"/>
      <c r="BY46" s="58">
        <f t="shared" ref="BY46" si="464">BX46/$BG46</f>
        <v>0</v>
      </c>
      <c r="BZ46" s="25"/>
      <c r="CA46" s="58">
        <f t="shared" ref="CA46" si="465">BZ46/$BG46</f>
        <v>0</v>
      </c>
      <c r="CB46" s="25"/>
      <c r="CC46" s="58">
        <f t="shared" ref="CC46" si="466">CB46/$BG46</f>
        <v>0</v>
      </c>
      <c r="CD46" s="25"/>
      <c r="CE46" s="58">
        <f t="shared" ref="CE46" si="467">CD46/$BG46</f>
        <v>0</v>
      </c>
      <c r="CF46" s="25">
        <f t="shared" si="457"/>
        <v>0</v>
      </c>
      <c r="CG46" s="58">
        <f t="shared" si="106"/>
        <v>0</v>
      </c>
    </row>
    <row r="47" spans="1:85" ht="15.75" x14ac:dyDescent="0.25">
      <c r="A47" s="27" t="s">
        <v>15</v>
      </c>
      <c r="B47" s="25">
        <v>38903.249549999993</v>
      </c>
      <c r="C47" s="26">
        <v>35749.699999999997</v>
      </c>
      <c r="D47" s="26">
        <v>35749.699999999997</v>
      </c>
      <c r="E47" s="25">
        <v>37537.184999999998</v>
      </c>
      <c r="F47" s="25">
        <f>E47/12</f>
        <v>3128.0987499999997</v>
      </c>
      <c r="G47" s="25"/>
      <c r="H47" s="58">
        <f>G47/F47</f>
        <v>0</v>
      </c>
      <c r="I47" s="25"/>
      <c r="J47" s="58">
        <f>I47/F47</f>
        <v>0</v>
      </c>
      <c r="K47" s="25"/>
      <c r="L47" s="58">
        <f>K47/F47</f>
        <v>0</v>
      </c>
      <c r="M47" s="25"/>
      <c r="N47" s="58">
        <f>M47/F47</f>
        <v>0</v>
      </c>
      <c r="O47" s="64">
        <v>925</v>
      </c>
      <c r="P47" s="58">
        <f>O47/$F47</f>
        <v>0.2957067771597684</v>
      </c>
      <c r="Q47" s="64">
        <v>43925.22</v>
      </c>
      <c r="R47" s="58">
        <f>Q47/$F47</f>
        <v>14.042146207820327</v>
      </c>
      <c r="S47" s="64"/>
      <c r="T47" s="58">
        <f>S47/$F47</f>
        <v>0</v>
      </c>
      <c r="U47" s="64"/>
      <c r="V47" s="58">
        <f>U47/$F47</f>
        <v>0</v>
      </c>
      <c r="W47" s="64"/>
      <c r="X47" s="58">
        <f>W47/$F47</f>
        <v>0</v>
      </c>
      <c r="Y47" s="25">
        <f>G47+I47+K47+M47+O47+Q47+S47+U47+W47</f>
        <v>44850.22</v>
      </c>
      <c r="Z47" s="58">
        <f>Y47/$E47</f>
        <v>1.1948210820816745</v>
      </c>
      <c r="AA47" s="25">
        <f>Y47/12</f>
        <v>3737.5183333333334</v>
      </c>
      <c r="AB47" s="25">
        <f>AA47*$AC$7</f>
        <v>3887.0190666666667</v>
      </c>
      <c r="AD47" s="69">
        <f>AB47/AA47</f>
        <v>1.04</v>
      </c>
      <c r="AE47" t="s">
        <v>137</v>
      </c>
      <c r="AG47" s="25"/>
      <c r="AH47" s="58">
        <f>AG47/$AB47</f>
        <v>0</v>
      </c>
      <c r="AI47" s="25"/>
      <c r="AJ47" s="58">
        <f>AI47/$AB47</f>
        <v>0</v>
      </c>
      <c r="AK47" s="25"/>
      <c r="AL47" s="58">
        <f>AK47/$AB47</f>
        <v>0</v>
      </c>
      <c r="AM47" s="25"/>
      <c r="AN47" s="58">
        <f>AM47/$AB47</f>
        <v>0</v>
      </c>
      <c r="AO47" s="25"/>
      <c r="AP47" s="58">
        <f>AO47/$AB47</f>
        <v>0</v>
      </c>
      <c r="AQ47" s="25"/>
      <c r="AR47" s="58">
        <f>AQ47/$AB47</f>
        <v>0</v>
      </c>
      <c r="AS47" s="25"/>
      <c r="AT47" s="58">
        <f>AS47/$AB47</f>
        <v>0</v>
      </c>
      <c r="AU47" s="25"/>
      <c r="AV47" s="58">
        <f>AU47/$AB47</f>
        <v>0</v>
      </c>
      <c r="AW47" s="25"/>
      <c r="AX47" s="58">
        <f>AW47/$AB47</f>
        <v>0</v>
      </c>
      <c r="AY47" s="25"/>
      <c r="AZ47" s="58">
        <f>AY47/$AB47</f>
        <v>0</v>
      </c>
      <c r="BA47" s="25">
        <f>AG47+AI47+AK47+AM47+AO47+AQ47+AS47+AU47+AW47+AY47</f>
        <v>0</v>
      </c>
      <c r="BB47" s="58">
        <f>BA47/(AB47*12)</f>
        <v>0</v>
      </c>
      <c r="BC47" s="25">
        <f>BA47/9</f>
        <v>0</v>
      </c>
      <c r="BD47" s="25">
        <f>AB47*BA1</f>
        <v>4042.4998293333338</v>
      </c>
      <c r="BE47" s="25">
        <f>BD47*12</f>
        <v>48509.997952000005</v>
      </c>
      <c r="BF47" s="128">
        <v>48510</v>
      </c>
      <c r="BG47" s="128">
        <f t="shared" si="35"/>
        <v>4042.5</v>
      </c>
      <c r="BH47" s="25"/>
      <c r="BI47" s="58">
        <f t="shared" si="36"/>
        <v>0</v>
      </c>
      <c r="BJ47" s="25"/>
      <c r="BK47" s="58">
        <f t="shared" si="36"/>
        <v>0</v>
      </c>
      <c r="BL47" s="25"/>
      <c r="BM47" s="58">
        <f t="shared" ref="BM47" si="468">BL47/$BG47</f>
        <v>0</v>
      </c>
      <c r="BN47" s="25"/>
      <c r="BO47" s="58">
        <f t="shared" ref="BO47" si="469">BN47/$BG47</f>
        <v>0</v>
      </c>
      <c r="BP47" s="25"/>
      <c r="BQ47" s="58">
        <f t="shared" ref="BQ47" si="470">BP47/$BG47</f>
        <v>0</v>
      </c>
      <c r="BR47" s="25"/>
      <c r="BS47" s="58">
        <f t="shared" ref="BS47" si="471">BR47/$BG47</f>
        <v>0</v>
      </c>
      <c r="BT47" s="25"/>
      <c r="BU47" s="58">
        <f t="shared" ref="BU47" si="472">BT47/$BG47</f>
        <v>0</v>
      </c>
      <c r="BV47" s="25"/>
      <c r="BW47" s="58">
        <f t="shared" ref="BW47" si="473">BV47/$BG47</f>
        <v>0</v>
      </c>
      <c r="BX47" s="25"/>
      <c r="BY47" s="58">
        <f t="shared" ref="BY47" si="474">BX47/$BG47</f>
        <v>0</v>
      </c>
      <c r="BZ47" s="25"/>
      <c r="CA47" s="58">
        <f t="shared" ref="CA47" si="475">BZ47/$BG47</f>
        <v>0</v>
      </c>
      <c r="CB47" s="25"/>
      <c r="CC47" s="58">
        <f t="shared" ref="CC47" si="476">CB47/$BG47</f>
        <v>0</v>
      </c>
      <c r="CD47" s="25"/>
      <c r="CE47" s="58">
        <f t="shared" ref="CE47" si="477">CD47/$BG47</f>
        <v>0</v>
      </c>
      <c r="CF47" s="25">
        <f t="shared" si="457"/>
        <v>0</v>
      </c>
      <c r="CG47" s="58">
        <f t="shared" si="106"/>
        <v>0</v>
      </c>
    </row>
    <row r="48" spans="1:85" ht="15.75" x14ac:dyDescent="0.25">
      <c r="A48" s="27" t="s">
        <v>234</v>
      </c>
      <c r="B48" s="25">
        <v>5225</v>
      </c>
      <c r="C48" s="26"/>
      <c r="D48" s="26">
        <v>3720</v>
      </c>
      <c r="E48" s="25">
        <v>3906</v>
      </c>
      <c r="F48" s="25">
        <f>E48/12</f>
        <v>325.5</v>
      </c>
      <c r="G48" s="25"/>
      <c r="H48" s="58">
        <f>G48/F48</f>
        <v>0</v>
      </c>
      <c r="I48" s="25"/>
      <c r="J48" s="58">
        <f>I48/F48</f>
        <v>0</v>
      </c>
      <c r="K48" s="25"/>
      <c r="L48" s="58">
        <f>K48/F48</f>
        <v>0</v>
      </c>
      <c r="M48" s="25"/>
      <c r="N48" s="58">
        <f>M48/F48</f>
        <v>0</v>
      </c>
      <c r="O48" s="64"/>
      <c r="P48" s="58">
        <f>O48/$F48</f>
        <v>0</v>
      </c>
      <c r="Q48" s="64"/>
      <c r="R48" s="58">
        <f>Q48/$F48</f>
        <v>0</v>
      </c>
      <c r="S48" s="64"/>
      <c r="T48" s="58">
        <f>S48/$F48</f>
        <v>0</v>
      </c>
      <c r="U48" s="64"/>
      <c r="V48" s="58">
        <f>U48/$F48</f>
        <v>0</v>
      </c>
      <c r="W48" s="64"/>
      <c r="X48" s="58">
        <f>W48/$F48</f>
        <v>0</v>
      </c>
      <c r="Y48" s="25">
        <f>G48+I48+K48+M48+O48+Q48+S48+U48+W48</f>
        <v>0</v>
      </c>
      <c r="Z48" s="58">
        <f>Y48/$E48</f>
        <v>0</v>
      </c>
      <c r="AA48" s="25">
        <f>(Y48/9)</f>
        <v>0</v>
      </c>
      <c r="AB48" s="25">
        <f>AA48*$AC$7</f>
        <v>0</v>
      </c>
      <c r="AD48" s="69"/>
      <c r="AE48" t="s">
        <v>138</v>
      </c>
      <c r="AG48" s="25"/>
      <c r="AH48" s="58" t="e">
        <f>AG48/$AB48</f>
        <v>#DIV/0!</v>
      </c>
      <c r="AI48" s="25"/>
      <c r="AJ48" s="58" t="e">
        <f>AI48/$AB48</f>
        <v>#DIV/0!</v>
      </c>
      <c r="AK48" s="25"/>
      <c r="AL48" s="58" t="e">
        <f>AK48/$AB48</f>
        <v>#DIV/0!</v>
      </c>
      <c r="AM48" s="25"/>
      <c r="AN48" s="58" t="e">
        <f>AM48/$AB48</f>
        <v>#DIV/0!</v>
      </c>
      <c r="AO48" s="25"/>
      <c r="AP48" s="58" t="e">
        <f>AO48/$AB48</f>
        <v>#DIV/0!</v>
      </c>
      <c r="AQ48" s="25"/>
      <c r="AR48" s="58" t="e">
        <f>AQ48/$AB48</f>
        <v>#DIV/0!</v>
      </c>
      <c r="AS48" s="25"/>
      <c r="AT48" s="58" t="e">
        <f>AS48/$AB48</f>
        <v>#DIV/0!</v>
      </c>
      <c r="AU48" s="25"/>
      <c r="AV48" s="58" t="e">
        <f>AU48/$AB48</f>
        <v>#DIV/0!</v>
      </c>
      <c r="AW48" s="25"/>
      <c r="AX48" s="58" t="e">
        <f>AW48/$AB48</f>
        <v>#DIV/0!</v>
      </c>
      <c r="AY48" s="25"/>
      <c r="AZ48" s="58" t="e">
        <f>AY48/$AB48</f>
        <v>#DIV/0!</v>
      </c>
      <c r="BA48" s="25">
        <f>AG48+AI48+AK48+AM48+AO48+AQ48+AS48+AU48+AW48+AY48</f>
        <v>0</v>
      </c>
      <c r="BB48" s="58" t="e">
        <f>BA48/(AB48*12)</f>
        <v>#DIV/0!</v>
      </c>
      <c r="BC48" s="25">
        <f>BA48/9</f>
        <v>0</v>
      </c>
      <c r="BD48" s="25">
        <v>0</v>
      </c>
      <c r="BE48" s="25">
        <f>BD48*12</f>
        <v>0</v>
      </c>
      <c r="BF48" s="129">
        <v>0</v>
      </c>
      <c r="BG48" s="129">
        <f t="shared" si="35"/>
        <v>0</v>
      </c>
      <c r="BH48" s="25"/>
      <c r="BI48" s="58" t="e">
        <f t="shared" si="36"/>
        <v>#DIV/0!</v>
      </c>
      <c r="BJ48" s="25"/>
      <c r="BK48" s="58" t="e">
        <f t="shared" si="36"/>
        <v>#DIV/0!</v>
      </c>
      <c r="BL48" s="25"/>
      <c r="BM48" s="58" t="e">
        <f t="shared" ref="BM48" si="478">BL48/$BG48</f>
        <v>#DIV/0!</v>
      </c>
      <c r="BN48" s="25"/>
      <c r="BO48" s="58" t="e">
        <f t="shared" ref="BO48" si="479">BN48/$BG48</f>
        <v>#DIV/0!</v>
      </c>
      <c r="BP48" s="25"/>
      <c r="BQ48" s="58" t="e">
        <f t="shared" ref="BQ48" si="480">BP48/$BG48</f>
        <v>#DIV/0!</v>
      </c>
      <c r="BR48" s="25"/>
      <c r="BS48" s="58" t="e">
        <f t="shared" ref="BS48" si="481">BR48/$BG48</f>
        <v>#DIV/0!</v>
      </c>
      <c r="BT48" s="25"/>
      <c r="BU48" s="58" t="e">
        <f t="shared" ref="BU48" si="482">BT48/$BG48</f>
        <v>#DIV/0!</v>
      </c>
      <c r="BV48" s="25"/>
      <c r="BW48" s="58" t="e">
        <f t="shared" ref="BW48" si="483">BV48/$BG48</f>
        <v>#DIV/0!</v>
      </c>
      <c r="BX48" s="25"/>
      <c r="BY48" s="58" t="e">
        <f t="shared" ref="BY48" si="484">BX48/$BG48</f>
        <v>#DIV/0!</v>
      </c>
      <c r="BZ48" s="25"/>
      <c r="CA48" s="58" t="e">
        <f t="shared" ref="CA48" si="485">BZ48/$BG48</f>
        <v>#DIV/0!</v>
      </c>
      <c r="CB48" s="25">
        <v>1920</v>
      </c>
      <c r="CC48" s="58" t="e">
        <f t="shared" ref="CC48" si="486">CB48/$BG48</f>
        <v>#DIV/0!</v>
      </c>
      <c r="CD48" s="25">
        <v>28854</v>
      </c>
      <c r="CE48" s="58" t="e">
        <f t="shared" ref="CE48" si="487">CD48/$BG48</f>
        <v>#DIV/0!</v>
      </c>
      <c r="CF48" s="25">
        <f t="shared" si="457"/>
        <v>30774</v>
      </c>
      <c r="CG48" s="58" t="e">
        <f t="shared" si="106"/>
        <v>#DIV/0!</v>
      </c>
    </row>
    <row r="49" spans="1:85" ht="15.75" x14ac:dyDescent="0.25">
      <c r="A49" s="4"/>
      <c r="B49" s="25"/>
      <c r="C49" s="26"/>
      <c r="D49" s="30"/>
      <c r="E49" s="25"/>
      <c r="F49" s="25"/>
      <c r="G49" s="25"/>
      <c r="H49" s="58"/>
      <c r="I49" s="25"/>
      <c r="J49" s="58"/>
      <c r="K49" s="25"/>
      <c r="L49" s="58"/>
      <c r="M49" s="25"/>
      <c r="N49" s="58"/>
      <c r="O49" s="64"/>
      <c r="P49" s="58"/>
      <c r="Q49" s="64"/>
      <c r="R49" s="58"/>
      <c r="S49" s="64"/>
      <c r="T49" s="58"/>
      <c r="U49" s="64"/>
      <c r="V49" s="58"/>
      <c r="W49" s="64"/>
      <c r="X49" s="58"/>
      <c r="Y49" s="25">
        <f t="shared" si="20"/>
        <v>0</v>
      </c>
      <c r="Z49" s="58"/>
      <c r="AA49" s="25"/>
      <c r="AB49" s="72"/>
      <c r="AD49" s="69"/>
      <c r="AG49" s="25"/>
      <c r="AH49" s="58"/>
      <c r="AI49" s="25"/>
      <c r="AJ49" s="58"/>
      <c r="AK49" s="25"/>
      <c r="AL49" s="58"/>
      <c r="AM49" s="25"/>
      <c r="AN49" s="58"/>
      <c r="AO49" s="25"/>
      <c r="AP49" s="58"/>
      <c r="AQ49" s="25"/>
      <c r="AR49" s="58"/>
      <c r="AS49" s="25"/>
      <c r="AT49" s="58"/>
      <c r="AU49" s="25"/>
      <c r="AV49" s="58"/>
      <c r="AW49" s="25"/>
      <c r="AX49" s="58"/>
      <c r="AY49" s="25"/>
      <c r="AZ49" s="58"/>
      <c r="BA49" s="25"/>
      <c r="BB49" s="58"/>
      <c r="BC49" s="25"/>
      <c r="BD49" s="25"/>
      <c r="BE49" s="25"/>
      <c r="BF49" s="129"/>
      <c r="BG49" s="129"/>
      <c r="BH49" s="25"/>
      <c r="BI49" s="58"/>
      <c r="BJ49" s="25"/>
      <c r="BK49" s="58"/>
      <c r="BL49" s="25"/>
      <c r="BM49" s="58"/>
      <c r="BN49" s="25"/>
      <c r="BO49" s="58"/>
      <c r="BP49" s="25"/>
      <c r="BQ49" s="58"/>
      <c r="BR49" s="25"/>
      <c r="BS49" s="58"/>
      <c r="BT49" s="25"/>
      <c r="BU49" s="58"/>
      <c r="BV49" s="25"/>
      <c r="BW49" s="58"/>
      <c r="BX49" s="25"/>
      <c r="BY49" s="58"/>
      <c r="BZ49" s="25"/>
      <c r="CA49" s="58"/>
      <c r="CB49" s="25"/>
      <c r="CC49" s="58"/>
      <c r="CD49" s="25"/>
      <c r="CE49" s="58"/>
      <c r="CF49" s="25"/>
      <c r="CG49" s="58"/>
    </row>
    <row r="50" spans="1:85" ht="15.75" x14ac:dyDescent="0.25">
      <c r="A50" s="34" t="s">
        <v>33</v>
      </c>
      <c r="B50" s="35">
        <v>3558376.6952249999</v>
      </c>
      <c r="C50" s="35">
        <v>2337774.5700000003</v>
      </c>
      <c r="D50" s="36">
        <v>3164745.3833333333</v>
      </c>
      <c r="E50" s="36">
        <v>3494730.8578900006</v>
      </c>
      <c r="F50" s="36">
        <f t="shared" si="290"/>
        <v>291227.57149083336</v>
      </c>
      <c r="G50" s="36">
        <f>G52+G92+G114+G133+G149+G156</f>
        <v>229268.12</v>
      </c>
      <c r="H50" s="59">
        <f t="shared" si="11"/>
        <v>0.7872473022603782</v>
      </c>
      <c r="I50" s="36">
        <f>I52+I92+I114+I133+I149+I156</f>
        <v>327899.84000000008</v>
      </c>
      <c r="J50" s="59">
        <f t="shared" si="12"/>
        <v>1.1259230653246066</v>
      </c>
      <c r="K50" s="36">
        <f>K52+K92+K114+K133+K149+K156</f>
        <v>322567.02999999997</v>
      </c>
      <c r="L50" s="59">
        <f t="shared" si="13"/>
        <v>1.1076115779448206</v>
      </c>
      <c r="M50" s="36">
        <f>M52+M92+M114+M133+M149+M156</f>
        <v>348375.5</v>
      </c>
      <c r="N50" s="59">
        <f t="shared" si="14"/>
        <v>1.1962311748733772</v>
      </c>
      <c r="O50" s="65">
        <f>O52+O92+O114+O133+O149+O156</f>
        <v>337945.19</v>
      </c>
      <c r="P50" s="59">
        <f t="shared" si="15"/>
        <v>1.1604161936660489</v>
      </c>
      <c r="Q50" s="65">
        <f>Q52+Q92+Q114+Q133+Q149+Q156</f>
        <v>359046.0199999999</v>
      </c>
      <c r="R50" s="59">
        <f t="shared" ref="R50" si="488">Q50/$F50</f>
        <v>1.2328709749629636</v>
      </c>
      <c r="S50" s="65">
        <f>S52+S92+S114+S133+S149+S156</f>
        <v>255277.85</v>
      </c>
      <c r="T50" s="59">
        <f t="shared" ref="T50" si="489">S50/$F50</f>
        <v>0.87655797386627277</v>
      </c>
      <c r="U50" s="65">
        <f>U52+U92+U114+U133+U149+U156</f>
        <v>290185.58</v>
      </c>
      <c r="V50" s="59">
        <f t="shared" ref="V50" si="490">U50/$F50</f>
        <v>0.99642207128432503</v>
      </c>
      <c r="W50" s="65">
        <f>W52+W92+W114+W133+W149+W156</f>
        <v>320964.06999999995</v>
      </c>
      <c r="X50" s="59">
        <f t="shared" ref="X50" si="491">W50/$F50</f>
        <v>1.1021074287607504</v>
      </c>
      <c r="Y50" s="36">
        <f t="shared" si="20"/>
        <v>2791529.1999999997</v>
      </c>
      <c r="Z50" s="59">
        <f t="shared" si="21"/>
        <v>0.7987823135786285</v>
      </c>
      <c r="AA50" s="36">
        <f t="shared" si="51"/>
        <v>310169.91111111105</v>
      </c>
      <c r="AB50" s="36">
        <f>AB52+AB92+AB114+AB133+AB149+AB156</f>
        <v>315288.20549999992</v>
      </c>
      <c r="AD50" s="69"/>
      <c r="AG50" s="36">
        <f>AG52+AG92+AG114+AG133+AG149+AG156</f>
        <v>254196.65000000002</v>
      </c>
      <c r="AH50" s="59">
        <f t="shared" si="0"/>
        <v>0.80623583618322214</v>
      </c>
      <c r="AI50" s="36">
        <f>AI52+AI92+AI114+AI133+AI149</f>
        <v>275874.2</v>
      </c>
      <c r="AJ50" s="59">
        <f t="shared" ref="AJ50" si="492">AI50/$AB50</f>
        <v>0.87499054892492667</v>
      </c>
      <c r="AK50" s="36">
        <f>AK52+AK92+AK114+AK133+AK149</f>
        <v>0</v>
      </c>
      <c r="AL50" s="59">
        <f t="shared" ref="AL50" si="493">AK50/$AB50</f>
        <v>0</v>
      </c>
      <c r="AM50" s="36">
        <f>AM52+AM92+AM114+AM133+AM149</f>
        <v>274096.39999999997</v>
      </c>
      <c r="AN50" s="59">
        <f t="shared" ref="AN50" si="494">AM50/$AB50</f>
        <v>0.86935189841727212</v>
      </c>
      <c r="AO50" s="36">
        <f>AO52+AO92+AO114+AO133+AO149</f>
        <v>209152.96999999997</v>
      </c>
      <c r="AP50" s="59">
        <f t="shared" ref="AP50" si="495">AO50/$AB50</f>
        <v>0.66337073937895852</v>
      </c>
      <c r="AQ50" s="36">
        <f>AQ52+AQ92+AQ114+AQ133+AQ149</f>
        <v>165088.31000000003</v>
      </c>
      <c r="AR50" s="59">
        <f t="shared" ref="AR50" si="496">AQ50/$AB50</f>
        <v>0.52361080154646022</v>
      </c>
      <c r="AS50" s="36">
        <f>AS52+AS92+AS114+AS133+AS149</f>
        <v>160202.26999999999</v>
      </c>
      <c r="AT50" s="59">
        <f t="shared" ref="AT50" si="497">AS50/$AB50</f>
        <v>0.50811374230108974</v>
      </c>
      <c r="AU50" s="36">
        <f>AU52+AU92+AU114+AU133+AU149</f>
        <v>169894.96</v>
      </c>
      <c r="AV50" s="59">
        <f t="shared" ref="AV50" si="498">AU50/$AB50</f>
        <v>0.53885605942845849</v>
      </c>
      <c r="AW50" s="36">
        <f>AW52+AW92+AW114+AW133+AW149</f>
        <v>193335.6</v>
      </c>
      <c r="AX50" s="59">
        <f t="shared" ref="AX50" si="499">AW50/$AB50</f>
        <v>0.61320276695221965</v>
      </c>
      <c r="AY50" s="36">
        <f>AY52+AY92+AY114+AY133+AY149</f>
        <v>226980.51000000004</v>
      </c>
      <c r="AZ50" s="59">
        <f t="shared" ref="AZ50" si="500">AY50/$AB50</f>
        <v>0.71991437053613505</v>
      </c>
      <c r="BA50" s="36">
        <f t="shared" si="31"/>
        <v>1928821.87</v>
      </c>
      <c r="BB50" s="59">
        <f t="shared" si="32"/>
        <v>0.50980389697239525</v>
      </c>
      <c r="BC50" s="36">
        <f t="shared" si="33"/>
        <v>214313.54111111112</v>
      </c>
      <c r="BD50" s="36">
        <f>BD52+BD92+BD114+BD133+BD149</f>
        <v>322961.9076208889</v>
      </c>
      <c r="BE50" s="36">
        <f t="shared" si="34"/>
        <v>3875542.8914506668</v>
      </c>
      <c r="BF50" s="134">
        <f>BF52+BF92+BF114+BF133+BF149+BF156+BF161</f>
        <v>3715933.1253013331</v>
      </c>
      <c r="BG50" s="134">
        <f t="shared" si="35"/>
        <v>309661.09377511108</v>
      </c>
      <c r="BH50" s="36">
        <f>BH52+BH92+BH114+BH133+BH149+BH156+BH161</f>
        <v>267320.76999999996</v>
      </c>
      <c r="BI50" s="59">
        <f t="shared" si="36"/>
        <v>0.86326882961325313</v>
      </c>
      <c r="BJ50" s="36">
        <f>BJ52+BJ92+BJ114+BJ133+BJ149+BJ156+BJ161</f>
        <v>275220.68</v>
      </c>
      <c r="BK50" s="59">
        <f t="shared" si="36"/>
        <v>0.88878030056910162</v>
      </c>
      <c r="BL50" s="36">
        <f>BL52+BL92+BL114+BL133+BL149+BL156+BL161</f>
        <v>315857.34999999992</v>
      </c>
      <c r="BM50" s="59">
        <f t="shared" ref="BM50" si="501">BL50/$BG50</f>
        <v>1.0200097989364747</v>
      </c>
      <c r="BN50" s="36">
        <f>BN52+BN92+BN114+BN133+BN149+BN156+BN161</f>
        <v>291099.89999999997</v>
      </c>
      <c r="BO50" s="59">
        <f t="shared" ref="BO50" si="502">BN50/$BG50</f>
        <v>0.94005965183152451</v>
      </c>
      <c r="BP50" s="36">
        <f>BP52+BP92+BP114+BP133+BP149+BP156+BP161</f>
        <v>313266.52</v>
      </c>
      <c r="BQ50" s="59">
        <f t="shared" ref="BQ50" si="503">BP50/$BG50</f>
        <v>1.0116431359875884</v>
      </c>
      <c r="BR50" s="36">
        <f>BR52+BR92+BR114+BR133+BR149+BR156+BR161</f>
        <v>422255.75</v>
      </c>
      <c r="BS50" s="59">
        <f t="shared" ref="BS50" si="504">BR50/$BG50</f>
        <v>1.3636060793179912</v>
      </c>
      <c r="BT50" s="36">
        <f>BT52+BT92+BT114+BT133+BT149+BT156+BT161</f>
        <v>402757.12000000005</v>
      </c>
      <c r="BU50" s="59">
        <f t="shared" ref="BU50" si="505">BT50/$BG50</f>
        <v>1.3006384337468602</v>
      </c>
      <c r="BV50" s="36">
        <f>BV52+BV92+BV114+BV133+BV149+BV156+BV161</f>
        <v>331592.18</v>
      </c>
      <c r="BW50" s="59">
        <f t="shared" ref="BW50" si="506">BV50/$BG50</f>
        <v>1.070822866242332</v>
      </c>
      <c r="BX50" s="36">
        <f>BX52+BX92+BX114+BX133+BX149+BX156+BX161</f>
        <v>344307.19000000006</v>
      </c>
      <c r="BY50" s="59">
        <f t="shared" ref="BY50" si="507">BX50/$BG50</f>
        <v>1.111883917357892</v>
      </c>
      <c r="BZ50" s="36">
        <v>345043.82000000007</v>
      </c>
      <c r="CA50" s="59">
        <f t="shared" ref="CA50" si="508">BZ50/$BG50</f>
        <v>1.114262743806574</v>
      </c>
      <c r="CB50" s="36">
        <f>CB52+CB92+CB114+CB133+CB149+CB156+CB161</f>
        <v>369281.60099999997</v>
      </c>
      <c r="CC50" s="59">
        <f t="shared" ref="CC50" si="509">CB50/$BG50</f>
        <v>1.1925347046283696</v>
      </c>
      <c r="CD50" s="36">
        <f>CD52+CD92+CD114+CD133+CD149+CD156+CD161</f>
        <v>540451.11</v>
      </c>
      <c r="CE50" s="59">
        <f t="shared" ref="CE50" si="510">CD50/$BG50</f>
        <v>1.7452987180640083</v>
      </c>
      <c r="CF50" s="36">
        <f>CF52+CF92+CF114+CF133+CF149+CF156+CF161</f>
        <v>4212453.9910000004</v>
      </c>
      <c r="CG50" s="59">
        <f t="shared" si="106"/>
        <v>1.1336194298863771</v>
      </c>
    </row>
    <row r="51" spans="1:85" ht="15.75" x14ac:dyDescent="0.25">
      <c r="A51" s="37"/>
      <c r="B51" s="38"/>
      <c r="C51" s="38"/>
      <c r="D51" s="39"/>
      <c r="E51" s="27"/>
      <c r="F51" s="27"/>
      <c r="G51" s="27"/>
      <c r="H51" s="57"/>
      <c r="I51" s="27"/>
      <c r="J51" s="57"/>
      <c r="K51" s="27"/>
      <c r="L51" s="57"/>
      <c r="M51" s="27"/>
      <c r="N51" s="57"/>
      <c r="O51" s="63"/>
      <c r="P51" s="57"/>
      <c r="Q51" s="63"/>
      <c r="R51" s="57"/>
      <c r="S51" s="63"/>
      <c r="T51" s="57"/>
      <c r="U51" s="63"/>
      <c r="V51" s="57"/>
      <c r="W51" s="63"/>
      <c r="X51" s="57"/>
      <c r="Y51" s="27"/>
      <c r="Z51" s="57"/>
      <c r="AA51" s="27"/>
      <c r="AB51" s="27"/>
      <c r="AD51" s="69"/>
      <c r="AG51" s="27"/>
      <c r="AH51" s="57"/>
      <c r="AI51" s="27"/>
      <c r="AJ51" s="57"/>
      <c r="AK51" s="27"/>
      <c r="AL51" s="57"/>
      <c r="AM51" s="27"/>
      <c r="AN51" s="57"/>
      <c r="AO51" s="27"/>
      <c r="AP51" s="57"/>
      <c r="AQ51" s="27"/>
      <c r="AR51" s="57"/>
      <c r="AS51" s="27"/>
      <c r="AT51" s="57"/>
      <c r="AU51" s="27"/>
      <c r="AV51" s="57"/>
      <c r="AW51" s="27"/>
      <c r="AX51" s="57"/>
      <c r="AY51" s="27"/>
      <c r="AZ51" s="57"/>
      <c r="BA51" s="27"/>
      <c r="BB51" s="57"/>
      <c r="BC51" s="27"/>
      <c r="BD51" s="27"/>
      <c r="BE51" s="27"/>
      <c r="BF51" s="135"/>
      <c r="BG51" s="135"/>
      <c r="BH51" s="27"/>
      <c r="BI51" s="57"/>
      <c r="BJ51" s="27"/>
      <c r="BK51" s="57"/>
      <c r="BL51" s="27"/>
      <c r="BM51" s="57"/>
      <c r="BN51" s="27"/>
      <c r="BO51" s="57"/>
      <c r="BP51" s="27"/>
      <c r="BQ51" s="57"/>
      <c r="BR51" s="27"/>
      <c r="BS51" s="57"/>
      <c r="BT51" s="27"/>
      <c r="BU51" s="57"/>
      <c r="BV51" s="27"/>
      <c r="BW51" s="57"/>
      <c r="BX51" s="27"/>
      <c r="BY51" s="57"/>
      <c r="BZ51" s="27"/>
      <c r="CA51" s="57"/>
      <c r="CB51" s="27"/>
      <c r="CC51" s="57"/>
      <c r="CD51" s="27"/>
      <c r="CE51" s="57"/>
      <c r="CF51" s="27"/>
      <c r="CG51" s="57"/>
    </row>
    <row r="52" spans="1:85" ht="15.75" x14ac:dyDescent="0.25">
      <c r="A52" s="40" t="s">
        <v>34</v>
      </c>
      <c r="B52" s="35">
        <v>2257537.647725</v>
      </c>
      <c r="C52" s="35">
        <v>1555709.8599999999</v>
      </c>
      <c r="D52" s="36">
        <v>2097218.5233333334</v>
      </c>
      <c r="E52" s="36">
        <v>2244672.7644900004</v>
      </c>
      <c r="F52" s="36">
        <f t="shared" si="290"/>
        <v>187056.06370750003</v>
      </c>
      <c r="G52" s="36">
        <f>G53+G66+G68+G76+G83</f>
        <v>164969.24</v>
      </c>
      <c r="H52" s="59">
        <f t="shared" si="11"/>
        <v>0.88192404314656569</v>
      </c>
      <c r="I52" s="36">
        <f>I53+I66+I68+I76+I83</f>
        <v>167945.22000000003</v>
      </c>
      <c r="J52" s="59">
        <f t="shared" si="12"/>
        <v>0.89783360491652564</v>
      </c>
      <c r="K52" s="36">
        <f>K53+K66+K68+K76+K83</f>
        <v>191888.44999999998</v>
      </c>
      <c r="L52" s="59">
        <f t="shared" si="13"/>
        <v>1.0258338927737536</v>
      </c>
      <c r="M52" s="36">
        <f>M53+M66+M68+M76+M83</f>
        <v>183228.44000000003</v>
      </c>
      <c r="N52" s="59">
        <f t="shared" si="14"/>
        <v>0.97953755878512838</v>
      </c>
      <c r="O52" s="65">
        <f>O53+O66+O68+O76+O83</f>
        <v>202183.99</v>
      </c>
      <c r="P52" s="59">
        <f t="shared" si="15"/>
        <v>1.0808737551334104</v>
      </c>
      <c r="Q52" s="65">
        <f>Q53+Q66+Q68+Q76+Q83</f>
        <v>200127.26999999993</v>
      </c>
      <c r="R52" s="59">
        <f t="shared" ref="R52:R122" si="511">Q52/$F52</f>
        <v>1.0698785488875644</v>
      </c>
      <c r="S52" s="65">
        <f>S53+S66+S68+S76+S83</f>
        <v>178157.15999999997</v>
      </c>
      <c r="T52" s="59">
        <f t="shared" ref="T52:T122" si="512">S52/$F52</f>
        <v>0.95242654244336455</v>
      </c>
      <c r="U52" s="65">
        <f>U53+U66+U68+U76+U83</f>
        <v>193449.71000000002</v>
      </c>
      <c r="V52" s="59">
        <f t="shared" ref="V52:V122" si="513">U52/$F52</f>
        <v>1.0341803744063478</v>
      </c>
      <c r="W52" s="65">
        <f>W53+W66+W68+W76+W83</f>
        <v>186807.99</v>
      </c>
      <c r="X52" s="59">
        <f t="shared" ref="X52:X54" si="514">W52/$F52</f>
        <v>0.9986738002362332</v>
      </c>
      <c r="Y52" s="36">
        <f t="shared" si="20"/>
        <v>1668757.47</v>
      </c>
      <c r="Z52" s="59">
        <f t="shared" si="21"/>
        <v>0.74343017672740774</v>
      </c>
      <c r="AA52" s="36">
        <f t="shared" si="51"/>
        <v>185417.49666666667</v>
      </c>
      <c r="AB52" s="36">
        <f>AB53+AB66+AB68+AB76+AB83</f>
        <v>195291.5198888889</v>
      </c>
      <c r="AD52" s="69"/>
      <c r="AF52" s="74"/>
      <c r="AG52" s="36">
        <f>AG53+AG66+AG68+AG76+AG83</f>
        <v>183176.78000000003</v>
      </c>
      <c r="AH52" s="59">
        <f t="shared" si="0"/>
        <v>0.93796586817603989</v>
      </c>
      <c r="AI52" s="36">
        <f>AI53+AI66+AI68+AI76+AI83</f>
        <v>183424.59</v>
      </c>
      <c r="AJ52" s="59">
        <f t="shared" ref="AJ52" si="515">AI52/$AB52</f>
        <v>0.93923479168147905</v>
      </c>
      <c r="AK52" s="36">
        <f>AK53+AK66+AK68+AK76+AK83</f>
        <v>0</v>
      </c>
      <c r="AL52" s="59">
        <f t="shared" ref="AL52:AL116" si="516">AK52/$AB52</f>
        <v>0</v>
      </c>
      <c r="AM52" s="36">
        <f>AM53+AM66+AM68+AM76+AM83</f>
        <v>204490.21</v>
      </c>
      <c r="AN52" s="59">
        <f t="shared" ref="AN52:AN116" si="517">AM52/$AB52</f>
        <v>1.0471023530174002</v>
      </c>
      <c r="AO52" s="36">
        <f>AO53+AO66+AO68+AO76+AO83</f>
        <v>167920.77</v>
      </c>
      <c r="AP52" s="59">
        <f t="shared" ref="AP52:AP116" si="518">AO52/$AB52</f>
        <v>0.85984670555863618</v>
      </c>
      <c r="AQ52" s="36">
        <f>AQ53+AQ66+AQ68+AQ76+AQ83</f>
        <v>129929.66</v>
      </c>
      <c r="AR52" s="59">
        <f t="shared" ref="AR52:AR116" si="519">AQ52/$AB52</f>
        <v>0.66531132572435037</v>
      </c>
      <c r="AS52" s="36">
        <f>AS53+AS66+AS68+AS76+AS83</f>
        <v>118794.28</v>
      </c>
      <c r="AT52" s="59">
        <f t="shared" ref="AT52:AT54" si="520">AS52/$AB52</f>
        <v>0.60829205521872121</v>
      </c>
      <c r="AU52" s="36">
        <f>AU53+AU66+AU68+AU76+AU83</f>
        <v>132437.85999999999</v>
      </c>
      <c r="AV52" s="59">
        <f t="shared" ref="AV52:AV54" si="521">AU52/$AB52</f>
        <v>0.67815468933495171</v>
      </c>
      <c r="AW52" s="36">
        <f>AW53+AW66+AW68+AW76+AW83</f>
        <v>143074.66</v>
      </c>
      <c r="AX52" s="59">
        <f t="shared" ref="AX52:AX54" si="522">AW52/$AB52</f>
        <v>0.73262095600158328</v>
      </c>
      <c r="AY52" s="36">
        <f>AY53+AY66+AY68+AY76+AY83</f>
        <v>147005.30000000002</v>
      </c>
      <c r="AZ52" s="59">
        <f t="shared" ref="AZ52:AZ54" si="523">AY52/$AB52</f>
        <v>0.75274799481123744</v>
      </c>
      <c r="BA52" s="36">
        <f t="shared" si="31"/>
        <v>1410254.1099999999</v>
      </c>
      <c r="BB52" s="59">
        <f t="shared" si="32"/>
        <v>0.60177306162703326</v>
      </c>
      <c r="BC52" s="36">
        <f t="shared" si="33"/>
        <v>156694.9011111111</v>
      </c>
      <c r="BD52" s="36">
        <f>BD53+BD66+BD68+BD76+BD83</f>
        <v>208035.76174622224</v>
      </c>
      <c r="BE52" s="36">
        <f t="shared" si="34"/>
        <v>2496429.1409546668</v>
      </c>
      <c r="BF52" s="134">
        <f>BF53+BF66+BF68+BF76+BF83</f>
        <v>2429005.0699999998</v>
      </c>
      <c r="BG52" s="134">
        <f t="shared" si="35"/>
        <v>202417.08916666664</v>
      </c>
      <c r="BH52" s="36">
        <f>BH53+BH66+BH68+BH76+BH83</f>
        <v>166268.59</v>
      </c>
      <c r="BI52" s="59">
        <f t="shared" si="36"/>
        <v>0.8214157741548066</v>
      </c>
      <c r="BJ52" s="36">
        <f>BJ53+BJ66+BJ68+BJ76+BJ83</f>
        <v>163871.17000000001</v>
      </c>
      <c r="BK52" s="59">
        <f t="shared" si="36"/>
        <v>0.80957181369736719</v>
      </c>
      <c r="BL52" s="36">
        <f>BL53+BL66+BL68+BL76+BL83</f>
        <v>231216.24999999997</v>
      </c>
      <c r="BM52" s="59">
        <f t="shared" ref="BM52" si="524">BL52/$BG52</f>
        <v>1.142276331271717</v>
      </c>
      <c r="BN52" s="36">
        <f>BN53+BN66+BN68+BN76+BN83</f>
        <v>192801.58000000002</v>
      </c>
      <c r="BO52" s="59">
        <f t="shared" ref="BO52" si="525">BN52/$BG52</f>
        <v>0.95249655448434301</v>
      </c>
      <c r="BP52" s="36">
        <f>BP53+BP66+BP68+BP76+BP83</f>
        <v>173473.15</v>
      </c>
      <c r="BQ52" s="59">
        <f t="shared" ref="BQ52" si="526">BP52/$BG52</f>
        <v>0.8570084211475113</v>
      </c>
      <c r="BR52" s="36">
        <f>BR53+BR66+BR68+BR76+BR83</f>
        <v>302813.23000000004</v>
      </c>
      <c r="BS52" s="59">
        <f t="shared" ref="BS52" si="527">BR52/$BG52</f>
        <v>1.4959864863517971</v>
      </c>
      <c r="BT52" s="36">
        <f>BT53+BT66+BT68+BT76+BT83</f>
        <v>191697.18</v>
      </c>
      <c r="BU52" s="59">
        <f t="shared" ref="BU52" si="528">BT52/$BG52</f>
        <v>0.94704049341486152</v>
      </c>
      <c r="BV52" s="36">
        <f>BV53+BV66+BV68+BV76+BV83</f>
        <v>216934.96999999997</v>
      </c>
      <c r="BW52" s="59">
        <f t="shared" ref="BW52" si="529">BV52/$BG52</f>
        <v>1.0717226045147776</v>
      </c>
      <c r="BX52" s="36">
        <f>BX53+BX66+BX68+BX76+BX83</f>
        <v>176903.81000000003</v>
      </c>
      <c r="BY52" s="59">
        <f t="shared" ref="BY52" si="530">BX52/$BG52</f>
        <v>0.87395689132917309</v>
      </c>
      <c r="BZ52" s="36">
        <v>210957.6</v>
      </c>
      <c r="CA52" s="59">
        <f t="shared" ref="CA52" si="531">BZ52/$BG52</f>
        <v>1.0421926373336061</v>
      </c>
      <c r="CB52" s="36">
        <f>CB53+CB66+CB68+CB76+CB83</f>
        <v>234141.00099999999</v>
      </c>
      <c r="CC52" s="59">
        <f t="shared" ref="CC52" si="532">CB52/$BG52</f>
        <v>1.1567254620839471</v>
      </c>
      <c r="CD52" s="36">
        <f>CD53+CD66+CD68+CD76+CD83</f>
        <v>316874.05999999994</v>
      </c>
      <c r="CE52" s="59">
        <f t="shared" ref="CE52" si="533">CD52/$BG52</f>
        <v>1.5654511252214058</v>
      </c>
      <c r="CF52" s="36">
        <f>CF53+CF66+CF68+CF76+CF83</f>
        <v>2577952.591</v>
      </c>
      <c r="CG52" s="59">
        <f t="shared" si="106"/>
        <v>1.0613203829171094</v>
      </c>
    </row>
    <row r="53" spans="1:85" ht="15.75" x14ac:dyDescent="0.25">
      <c r="A53" s="41" t="s">
        <v>35</v>
      </c>
      <c r="B53" s="42">
        <v>1738417.7431750002</v>
      </c>
      <c r="C53" s="42">
        <v>1222462.07</v>
      </c>
      <c r="D53" s="43">
        <v>1630381.7799999998</v>
      </c>
      <c r="E53" s="43">
        <v>1739210.8139900004</v>
      </c>
      <c r="F53" s="43">
        <f t="shared" si="290"/>
        <v>144934.23449916669</v>
      </c>
      <c r="G53" s="43">
        <f>SUM(G54:G65)</f>
        <v>116679.48999999999</v>
      </c>
      <c r="H53" s="60">
        <f t="shared" si="11"/>
        <v>0.80505127310463598</v>
      </c>
      <c r="I53" s="43">
        <f>SUM(I54:I65)</f>
        <v>126221.04000000002</v>
      </c>
      <c r="J53" s="60">
        <f t="shared" si="12"/>
        <v>0.87088492540198115</v>
      </c>
      <c r="K53" s="43">
        <f>SUM(K54:K65)</f>
        <v>147059.4</v>
      </c>
      <c r="L53" s="60">
        <f t="shared" si="13"/>
        <v>1.0146629642622187</v>
      </c>
      <c r="M53" s="43">
        <f>SUM(M54:M65)</f>
        <v>145751.01</v>
      </c>
      <c r="N53" s="60">
        <f t="shared" si="14"/>
        <v>1.0056354904944009</v>
      </c>
      <c r="O53" s="66">
        <f>SUM(O54:O65)</f>
        <v>151925.04999999999</v>
      </c>
      <c r="P53" s="60">
        <f t="shared" si="15"/>
        <v>1.0482343976562245</v>
      </c>
      <c r="Q53" s="66">
        <f>SUM(Q54:Q65)</f>
        <v>160164.22999999998</v>
      </c>
      <c r="R53" s="60">
        <f t="shared" si="511"/>
        <v>1.105082112266035</v>
      </c>
      <c r="S53" s="66">
        <f>SUM(S54:S65)</f>
        <v>131913.22</v>
      </c>
      <c r="T53" s="60">
        <f t="shared" si="512"/>
        <v>0.91015915222402788</v>
      </c>
      <c r="U53" s="66">
        <f>SUM(U54:U65)</f>
        <v>144160.74000000002</v>
      </c>
      <c r="V53" s="60">
        <f t="shared" si="513"/>
        <v>0.99466313461523048</v>
      </c>
      <c r="W53" s="66">
        <f>SUM(W54:W65)</f>
        <v>141017.44</v>
      </c>
      <c r="X53" s="60">
        <f t="shared" si="514"/>
        <v>0.9729753669814345</v>
      </c>
      <c r="Y53" s="43">
        <f t="shared" si="20"/>
        <v>1264891.6199999999</v>
      </c>
      <c r="Z53" s="60">
        <f t="shared" si="21"/>
        <v>0.72727906808384901</v>
      </c>
      <c r="AA53" s="43">
        <f t="shared" si="51"/>
        <v>140543.51333333331</v>
      </c>
      <c r="AB53" s="43">
        <f>SUM(AB54:AB65)</f>
        <v>141899.18380000003</v>
      </c>
      <c r="AC53">
        <v>141900</v>
      </c>
      <c r="AD53" s="69">
        <f t="shared" si="93"/>
        <v>1.009645912746264</v>
      </c>
      <c r="AG53" s="43">
        <f>SUM(AG54:AG65)</f>
        <v>122262.36000000002</v>
      </c>
      <c r="AH53" s="60">
        <f t="shared" si="0"/>
        <v>0.86161425827736149</v>
      </c>
      <c r="AI53" s="43">
        <f>SUM(AI54:AI65)</f>
        <v>127626.23999999999</v>
      </c>
      <c r="AJ53" s="60">
        <f t="shared" ref="AJ53" si="534">AI53/$AB53</f>
        <v>0.89941489853728085</v>
      </c>
      <c r="AK53" s="43">
        <f>SUM(AK54:AK65)</f>
        <v>0</v>
      </c>
      <c r="AL53" s="60">
        <f t="shared" si="516"/>
        <v>0</v>
      </c>
      <c r="AM53" s="43">
        <f>SUM(AM54:AM65)</f>
        <v>132632.66</v>
      </c>
      <c r="AN53" s="60">
        <f t="shared" si="517"/>
        <v>0.93469642635111461</v>
      </c>
      <c r="AO53" s="43">
        <f>SUM(AO54:AO65)</f>
        <v>117904.63</v>
      </c>
      <c r="AP53" s="60">
        <f t="shared" si="518"/>
        <v>0.83090421553221072</v>
      </c>
      <c r="AQ53" s="43">
        <f>SUM(AQ54:AQ65)</f>
        <v>101588.69</v>
      </c>
      <c r="AR53" s="60">
        <f t="shared" si="519"/>
        <v>0.71592159503316311</v>
      </c>
      <c r="AS53" s="43">
        <f>SUM(AS54:AS65)</f>
        <v>92475.19</v>
      </c>
      <c r="AT53" s="60">
        <f t="shared" si="520"/>
        <v>0.65169641941238554</v>
      </c>
      <c r="AU53" s="43">
        <f>SUM(AU54:AU65)</f>
        <v>107549.14999999998</v>
      </c>
      <c r="AV53" s="60">
        <f t="shared" si="521"/>
        <v>0.75792648780549188</v>
      </c>
      <c r="AW53" s="43">
        <f>SUM(AW54:AW65)</f>
        <v>112715.35</v>
      </c>
      <c r="AX53" s="60">
        <f t="shared" si="522"/>
        <v>0.79433402632439931</v>
      </c>
      <c r="AY53" s="43">
        <f>SUM(AY54:AY65)</f>
        <v>118610.91</v>
      </c>
      <c r="AZ53" s="60">
        <f t="shared" si="523"/>
        <v>0.83588155212489657</v>
      </c>
      <c r="BA53" s="43">
        <f t="shared" si="31"/>
        <v>1033365.18</v>
      </c>
      <c r="BB53" s="60">
        <f t="shared" si="32"/>
        <v>0.60686582328319205</v>
      </c>
      <c r="BC53" s="43">
        <f t="shared" si="33"/>
        <v>114818.35333333333</v>
      </c>
      <c r="BD53" s="43">
        <f>SUM(BD54:BD65)</f>
        <v>150960.89672933336</v>
      </c>
      <c r="BE53" s="43">
        <f t="shared" si="34"/>
        <v>1811530.7607520004</v>
      </c>
      <c r="BF53" s="136">
        <f>SUM(BF54:BF65)</f>
        <v>1812646.8399999999</v>
      </c>
      <c r="BG53" s="136">
        <f t="shared" si="35"/>
        <v>151053.90333333332</v>
      </c>
      <c r="BH53" s="43">
        <f>SUM(BH54:BH65)</f>
        <v>120840.48999999999</v>
      </c>
      <c r="BI53" s="60">
        <f t="shared" si="36"/>
        <v>0.79998257134302009</v>
      </c>
      <c r="BJ53" s="43">
        <f>SUM(BJ54:BJ65)</f>
        <v>123141.35</v>
      </c>
      <c r="BK53" s="60">
        <f t="shared" si="36"/>
        <v>0.81521461731618949</v>
      </c>
      <c r="BL53" s="43">
        <f>SUM(BL54:BL65)</f>
        <v>165072.47999999998</v>
      </c>
      <c r="BM53" s="60">
        <f t="shared" ref="BM53" si="535">BL53/$BG53</f>
        <v>1.0928051268938852</v>
      </c>
      <c r="BN53" s="43">
        <f>SUM(BN54:BN65)</f>
        <v>147395.40000000002</v>
      </c>
      <c r="BO53" s="60">
        <f t="shared" ref="BO53" si="536">BN53/$BG53</f>
        <v>0.97578014700315285</v>
      </c>
      <c r="BP53" s="43">
        <f>SUM(BP54:BP65)</f>
        <v>130474.55999999998</v>
      </c>
      <c r="BQ53" s="60">
        <f t="shared" ref="BQ53" si="537">BP53/$BG53</f>
        <v>0.8637615918608833</v>
      </c>
      <c r="BR53" s="43">
        <f>SUM(BR54:BR65)</f>
        <v>223596.38</v>
      </c>
      <c r="BS53" s="60">
        <f t="shared" ref="BS53" si="538">BR53/$BG53</f>
        <v>1.4802423179134001</v>
      </c>
      <c r="BT53" s="43">
        <f>SUM(BT54:BT65)</f>
        <v>121300.58</v>
      </c>
      <c r="BU53" s="60">
        <f t="shared" ref="BU53" si="539">BT53/$BG53</f>
        <v>0.80302843768508159</v>
      </c>
      <c r="BV53" s="43">
        <f>SUM(BV54:BV65)</f>
        <v>122313.75999999998</v>
      </c>
      <c r="BW53" s="60">
        <f t="shared" ref="BW53" si="540">BV53/$BG53</f>
        <v>0.80973584462817916</v>
      </c>
      <c r="BX53" s="43">
        <f>SUM(BX54:BX65)</f>
        <v>131293.58000000002</v>
      </c>
      <c r="BY53" s="60">
        <f t="shared" ref="BY53" si="541">BX53/$BG53</f>
        <v>0.86918362983492159</v>
      </c>
      <c r="BZ53" s="43">
        <v>130394.45</v>
      </c>
      <c r="CA53" s="60">
        <f t="shared" ref="CA53" si="542">BZ53/$BG53</f>
        <v>0.8632312513782332</v>
      </c>
      <c r="CB53" s="43">
        <f>SUM(CB54:CB65)</f>
        <v>139035.41</v>
      </c>
      <c r="CC53" s="60">
        <f t="shared" ref="CC53" si="543">CB53/$BG53</f>
        <v>0.92043573143017765</v>
      </c>
      <c r="CD53" s="43">
        <f>SUM(CD54:CD65)</f>
        <v>231830.56</v>
      </c>
      <c r="CE53" s="60">
        <f t="shared" ref="CE53" si="544">CD53/$BG53</f>
        <v>1.5347538519968955</v>
      </c>
      <c r="CF53" s="43">
        <f>SUM(CF54:CF65)</f>
        <v>1786689</v>
      </c>
      <c r="CG53" s="60">
        <f t="shared" si="106"/>
        <v>0.98567959327366828</v>
      </c>
    </row>
    <row r="54" spans="1:85" ht="15.75" x14ac:dyDescent="0.25">
      <c r="A54" s="44" t="s">
        <v>36</v>
      </c>
      <c r="B54" s="25">
        <v>899956.18440000003</v>
      </c>
      <c r="C54" s="26">
        <v>650232.38</v>
      </c>
      <c r="D54" s="26">
        <v>866976.50666666671</v>
      </c>
      <c r="E54" s="45">
        <v>901655.56693333341</v>
      </c>
      <c r="F54" s="45">
        <f t="shared" si="290"/>
        <v>75137.963911111117</v>
      </c>
      <c r="G54" s="45">
        <f>64945.46+1585.79</f>
        <v>66531.25</v>
      </c>
      <c r="H54" s="58">
        <f t="shared" si="11"/>
        <v>0.8854545230784675</v>
      </c>
      <c r="I54" s="45">
        <f>73644.14+874.27+2566.32-514.27</f>
        <v>76570.460000000006</v>
      </c>
      <c r="J54" s="58">
        <f t="shared" si="12"/>
        <v>1.0190648776507112</v>
      </c>
      <c r="K54" s="45">
        <f>80783.95</f>
        <v>80783.95</v>
      </c>
      <c r="L54" s="58">
        <f t="shared" si="13"/>
        <v>1.075141590149663</v>
      </c>
      <c r="M54" s="68">
        <f>78012.59</f>
        <v>78012.59</v>
      </c>
      <c r="N54" s="58">
        <f t="shared" si="14"/>
        <v>1.0382579715932891</v>
      </c>
      <c r="O54" s="64">
        <f>80466.71-43.44</f>
        <v>80423.27</v>
      </c>
      <c r="P54" s="58">
        <f t="shared" si="15"/>
        <v>1.0703413536084296</v>
      </c>
      <c r="Q54" s="64">
        <f>76902.8</f>
        <v>76902.8</v>
      </c>
      <c r="R54" s="58">
        <f t="shared" si="511"/>
        <v>1.0234879413418323</v>
      </c>
      <c r="S54" s="64">
        <f>66487.61-118.67</f>
        <v>66368.94</v>
      </c>
      <c r="T54" s="58">
        <f t="shared" si="512"/>
        <v>0.88329436339950673</v>
      </c>
      <c r="U54" s="64">
        <f>71683.7</f>
        <v>71683.7</v>
      </c>
      <c r="V54" s="58">
        <f t="shared" si="513"/>
        <v>0.9540277147355557</v>
      </c>
      <c r="W54" s="64">
        <f>72308.97-1320.67</f>
        <v>70988.3</v>
      </c>
      <c r="X54" s="58">
        <f t="shared" si="514"/>
        <v>0.94477273943674855</v>
      </c>
      <c r="Y54" s="45">
        <f t="shared" si="20"/>
        <v>668265.26</v>
      </c>
      <c r="Z54" s="58">
        <f t="shared" si="21"/>
        <v>0.74115358958285027</v>
      </c>
      <c r="AA54" s="45">
        <f t="shared" si="51"/>
        <v>74251.695555555561</v>
      </c>
      <c r="AB54" s="68">
        <v>74308.240000000005</v>
      </c>
      <c r="AD54" s="69">
        <f t="shared" si="93"/>
        <v>1.000761523949337</v>
      </c>
      <c r="AG54" s="45">
        <f>70398.11</f>
        <v>70398.11</v>
      </c>
      <c r="AH54" s="58">
        <f t="shared" si="0"/>
        <v>0.94737959074256095</v>
      </c>
      <c r="AI54" s="45">
        <v>69548.55</v>
      </c>
      <c r="AJ54" s="58">
        <f t="shared" ref="AJ54" si="545">AI54/$AB54</f>
        <v>0.93594667293963629</v>
      </c>
      <c r="AK54" s="45"/>
      <c r="AL54" s="58">
        <f t="shared" si="516"/>
        <v>0</v>
      </c>
      <c r="AM54" s="45">
        <v>64198.5</v>
      </c>
      <c r="AN54" s="58">
        <f t="shared" si="517"/>
        <v>0.86394860112418215</v>
      </c>
      <c r="AO54" s="45">
        <v>45211.94</v>
      </c>
      <c r="AP54" s="58">
        <f t="shared" si="518"/>
        <v>0.60843777217708295</v>
      </c>
      <c r="AQ54" s="45">
        <f>53940.03-28.73</f>
        <v>53911.299999999996</v>
      </c>
      <c r="AR54" s="58">
        <f t="shared" si="519"/>
        <v>0.7255090417967105</v>
      </c>
      <c r="AS54" s="45">
        <v>55956.43</v>
      </c>
      <c r="AT54" s="58">
        <f t="shared" si="520"/>
        <v>0.75303129235734823</v>
      </c>
      <c r="AU54" s="45">
        <f>63454.06</f>
        <v>63454.06</v>
      </c>
      <c r="AV54" s="58">
        <f t="shared" si="521"/>
        <v>0.85393033127954576</v>
      </c>
      <c r="AW54" s="45">
        <v>72224.12</v>
      </c>
      <c r="AX54" s="58">
        <f t="shared" si="522"/>
        <v>0.97195304316183495</v>
      </c>
      <c r="AY54" s="45">
        <f>76684.34-197.67</f>
        <v>76486.67</v>
      </c>
      <c r="AZ54" s="58">
        <f t="shared" si="523"/>
        <v>1.0293161296782158</v>
      </c>
      <c r="BA54" s="45">
        <f t="shared" si="31"/>
        <v>571389.68000000005</v>
      </c>
      <c r="BB54" s="58">
        <f t="shared" si="32"/>
        <v>0.64078770627142645</v>
      </c>
      <c r="BC54" s="45">
        <f t="shared" si="33"/>
        <v>63487.74222222223</v>
      </c>
      <c r="BD54" s="45">
        <f>AB54*BA1</f>
        <v>77280.569600000003</v>
      </c>
      <c r="BE54" s="45">
        <f t="shared" si="34"/>
        <v>927366.83520000009</v>
      </c>
      <c r="BF54" s="130">
        <v>927366.84</v>
      </c>
      <c r="BG54" s="130">
        <f t="shared" si="35"/>
        <v>77280.569999999992</v>
      </c>
      <c r="BH54" s="45">
        <f>68506.65-534.49</f>
        <v>67972.159999999989</v>
      </c>
      <c r="BI54" s="58">
        <f t="shared" si="36"/>
        <v>0.87955044845036723</v>
      </c>
      <c r="BJ54" s="45">
        <f>76975.17-735.76</f>
        <v>76239.41</v>
      </c>
      <c r="BK54" s="58">
        <f t="shared" si="36"/>
        <v>0.9865275320821264</v>
      </c>
      <c r="BL54" s="45">
        <f>78612.64-139.82</f>
        <v>78472.819999999992</v>
      </c>
      <c r="BM54" s="58">
        <f t="shared" ref="BM54" si="546">BL54/$BG54</f>
        <v>1.0154275518412972</v>
      </c>
      <c r="BN54" s="45">
        <v>87946.8</v>
      </c>
      <c r="BO54" s="58">
        <f t="shared" ref="BO54" si="547">BN54/$BG54</f>
        <v>1.1380195565327742</v>
      </c>
      <c r="BP54" s="45">
        <f>84745.59-85.13</f>
        <v>84660.459999999992</v>
      </c>
      <c r="BQ54" s="58">
        <f t="shared" ref="BQ54" si="548">BP54/$BG54</f>
        <v>1.0954947666664467</v>
      </c>
      <c r="BR54" s="45">
        <v>60968.04</v>
      </c>
      <c r="BS54" s="58">
        <f t="shared" ref="BS54" si="549">BR54/$BG54</f>
        <v>0.7889180941600199</v>
      </c>
      <c r="BT54" s="45">
        <f>70226.3-24.95</f>
        <v>70201.350000000006</v>
      </c>
      <c r="BU54" s="58">
        <f t="shared" ref="BU54" si="550">BT54/$BG54</f>
        <v>0.90839586198704292</v>
      </c>
      <c r="BV54" s="45">
        <f>75802.87-104.07</f>
        <v>75698.799999999988</v>
      </c>
      <c r="BW54" s="58">
        <f t="shared" ref="BW54" si="551">BV54/$BG54</f>
        <v>0.97953211266428286</v>
      </c>
      <c r="BX54" s="45">
        <f>75741.02-104.07</f>
        <v>75636.95</v>
      </c>
      <c r="BY54" s="58">
        <f t="shared" ref="BY54" si="552">BX54/$BG54</f>
        <v>0.9787317821284186</v>
      </c>
      <c r="BZ54" s="45">
        <v>80536.91</v>
      </c>
      <c r="CA54" s="58">
        <f t="shared" ref="CA54" si="553">BZ54/$BG54</f>
        <v>1.0421365939718097</v>
      </c>
      <c r="CB54" s="45">
        <f>85222.16-2367.08</f>
        <v>82855.08</v>
      </c>
      <c r="CC54" s="58">
        <f t="shared" ref="CC54" si="554">CB54/$BG54</f>
        <v>1.0721333965316251</v>
      </c>
      <c r="CD54" s="45">
        <f>81733.09-3328</f>
        <v>78405.09</v>
      </c>
      <c r="CE54" s="58">
        <f t="shared" ref="CE54" si="555">CD54/$BG54</f>
        <v>1.0145511349101075</v>
      </c>
      <c r="CF54" s="45">
        <f t="shared" ref="CF54:CF65" si="556">BH54+BJ54+BL54+BN54+BP54+BR54+BT54+BV54+BX54+BZ54+CB54+CD54</f>
        <v>919593.87</v>
      </c>
      <c r="CG54" s="58">
        <f t="shared" si="106"/>
        <v>0.9916182359938599</v>
      </c>
    </row>
    <row r="55" spans="1:85" ht="15.75" x14ac:dyDescent="0.25">
      <c r="A55" s="44" t="s">
        <v>125</v>
      </c>
      <c r="B55" s="25"/>
      <c r="C55" s="26"/>
      <c r="D55" s="26"/>
      <c r="E55" s="45"/>
      <c r="F55" s="45"/>
      <c r="G55" s="45"/>
      <c r="H55" s="58"/>
      <c r="I55" s="45"/>
      <c r="J55" s="58"/>
      <c r="K55" s="45">
        <v>5402.7</v>
      </c>
      <c r="L55" s="58"/>
      <c r="M55" s="45"/>
      <c r="N55" s="58"/>
      <c r="O55" s="64">
        <v>171.42</v>
      </c>
      <c r="P55" s="58" t="e">
        <f t="shared" si="15"/>
        <v>#DIV/0!</v>
      </c>
      <c r="Q55" s="64"/>
      <c r="R55" s="58" t="e">
        <f t="shared" si="511"/>
        <v>#DIV/0!</v>
      </c>
      <c r="S55" s="64"/>
      <c r="T55" s="58" t="e">
        <f t="shared" si="512"/>
        <v>#DIV/0!</v>
      </c>
      <c r="V55" s="58" t="e">
        <f>U81/$F55</f>
        <v>#DIV/0!</v>
      </c>
      <c r="X55" s="58" t="e">
        <f>W81/$F55</f>
        <v>#DIV/0!</v>
      </c>
      <c r="Y55" s="45">
        <f t="shared" si="20"/>
        <v>5574.12</v>
      </c>
      <c r="Z55" s="58"/>
      <c r="AA55" s="45"/>
      <c r="AB55" s="68">
        <f t="shared" ref="AB55:AB62" si="557">AA55*$AC$8</f>
        <v>0</v>
      </c>
      <c r="AD55" s="69"/>
      <c r="AF55" s="74"/>
      <c r="AG55" s="45"/>
      <c r="AH55" s="58" t="e">
        <f t="shared" si="0"/>
        <v>#DIV/0!</v>
      </c>
      <c r="AI55" s="45"/>
      <c r="AJ55" s="58" t="e">
        <f t="shared" ref="AJ55" si="558">AI55/$AB55</f>
        <v>#DIV/0!</v>
      </c>
      <c r="AK55" s="45"/>
      <c r="AL55" s="58" t="e">
        <f t="shared" si="516"/>
        <v>#DIV/0!</v>
      </c>
      <c r="AM55" s="45">
        <v>178.57</v>
      </c>
      <c r="AN55" s="58" t="e">
        <f t="shared" si="517"/>
        <v>#DIV/0!</v>
      </c>
      <c r="AO55" s="45"/>
      <c r="AP55" s="58" t="e">
        <f t="shared" si="518"/>
        <v>#DIV/0!</v>
      </c>
      <c r="AQ55" s="45"/>
      <c r="AR55" s="58"/>
      <c r="AS55" s="45"/>
      <c r="AT55" s="58"/>
      <c r="AU55" s="45"/>
      <c r="AV55" s="58"/>
      <c r="AW55" s="45"/>
      <c r="AX55" s="58"/>
      <c r="AY55" s="45"/>
      <c r="AZ55" s="58"/>
      <c r="BA55" s="45">
        <f t="shared" si="31"/>
        <v>178.57</v>
      </c>
      <c r="BB55" s="58" t="e">
        <f t="shared" si="32"/>
        <v>#DIV/0!</v>
      </c>
      <c r="BC55" s="45">
        <f t="shared" si="33"/>
        <v>19.841111111111111</v>
      </c>
      <c r="BD55" s="45"/>
      <c r="BE55" s="45">
        <f t="shared" si="34"/>
        <v>0</v>
      </c>
      <c r="BF55" s="130"/>
      <c r="BG55" s="130">
        <f t="shared" si="35"/>
        <v>0</v>
      </c>
      <c r="BH55" s="45"/>
      <c r="BI55" s="58" t="e">
        <f t="shared" si="36"/>
        <v>#DIV/0!</v>
      </c>
      <c r="BJ55" s="45"/>
      <c r="BK55" s="58" t="e">
        <f t="shared" si="36"/>
        <v>#DIV/0!</v>
      </c>
      <c r="BL55" s="45"/>
      <c r="BM55" s="58" t="e">
        <f t="shared" ref="BM55" si="559">BL55/$BG55</f>
        <v>#DIV/0!</v>
      </c>
      <c r="BN55" s="45"/>
      <c r="BO55" s="58" t="e">
        <f t="shared" ref="BO55" si="560">BN55/$BG55</f>
        <v>#DIV/0!</v>
      </c>
      <c r="BP55" s="45"/>
      <c r="BQ55" s="58" t="e">
        <f t="shared" ref="BQ55" si="561">BP55/$BG55</f>
        <v>#DIV/0!</v>
      </c>
      <c r="BR55" s="45"/>
      <c r="BS55" s="58" t="e">
        <f t="shared" ref="BS55" si="562">BR55/$BG55</f>
        <v>#DIV/0!</v>
      </c>
      <c r="BT55" s="45"/>
      <c r="BU55" s="58" t="e">
        <f t="shared" ref="BU55" si="563">BT55/$BG55</f>
        <v>#DIV/0!</v>
      </c>
      <c r="BV55" s="45"/>
      <c r="BW55" s="58" t="e">
        <f t="shared" ref="BW55" si="564">BV55/$BG55</f>
        <v>#DIV/0!</v>
      </c>
      <c r="BX55" s="45"/>
      <c r="BY55" s="58" t="e">
        <f t="shared" ref="BY55" si="565">BX55/$BG55</f>
        <v>#DIV/0!</v>
      </c>
      <c r="BZ55" s="45"/>
      <c r="CA55" s="58" t="e">
        <f t="shared" ref="CA55" si="566">BZ55/$BG55</f>
        <v>#DIV/0!</v>
      </c>
      <c r="CB55" s="45"/>
      <c r="CC55" s="58" t="e">
        <f t="shared" ref="CC55" si="567">CB55/$BG55</f>
        <v>#DIV/0!</v>
      </c>
      <c r="CD55" s="45"/>
      <c r="CE55" s="58" t="e">
        <f t="shared" ref="CE55" si="568">CD55/$BG55</f>
        <v>#DIV/0!</v>
      </c>
      <c r="CF55" s="45">
        <f t="shared" si="556"/>
        <v>0</v>
      </c>
      <c r="CG55" s="58" t="e">
        <f t="shared" si="106"/>
        <v>#DIV/0!</v>
      </c>
    </row>
    <row r="56" spans="1:85" ht="15.75" x14ac:dyDescent="0.25">
      <c r="A56" s="44" t="s">
        <v>37</v>
      </c>
      <c r="B56" s="25">
        <v>63527.199999999997</v>
      </c>
      <c r="C56" s="26">
        <v>15277.74</v>
      </c>
      <c r="D56" s="26">
        <v>20370.32</v>
      </c>
      <c r="E56" s="45">
        <v>50000</v>
      </c>
      <c r="F56" s="45">
        <f t="shared" si="290"/>
        <v>4166.666666666667</v>
      </c>
      <c r="G56" s="45">
        <v>370.75</v>
      </c>
      <c r="H56" s="58">
        <f t="shared" si="11"/>
        <v>8.897999999999999E-2</v>
      </c>
      <c r="I56" s="45">
        <v>581.88</v>
      </c>
      <c r="J56" s="58">
        <f t="shared" si="12"/>
        <v>0.13965119999999998</v>
      </c>
      <c r="K56" s="45">
        <v>679.3</v>
      </c>
      <c r="L56" s="58">
        <f t="shared" si="13"/>
        <v>0.16303199999999998</v>
      </c>
      <c r="M56" s="45">
        <v>654</v>
      </c>
      <c r="N56" s="58">
        <f t="shared" si="14"/>
        <v>0.15695999999999999</v>
      </c>
      <c r="O56" s="64">
        <v>2377.88</v>
      </c>
      <c r="P56" s="58">
        <f t="shared" si="15"/>
        <v>0.57069119999999995</v>
      </c>
      <c r="Q56" s="64">
        <v>3038</v>
      </c>
      <c r="R56" s="58">
        <f t="shared" si="511"/>
        <v>0.72911999999999999</v>
      </c>
      <c r="S56" s="64">
        <v>1838</v>
      </c>
      <c r="T56" s="58">
        <f t="shared" si="512"/>
        <v>0.44111999999999996</v>
      </c>
      <c r="U56" s="64">
        <v>1700</v>
      </c>
      <c r="V56" s="58">
        <f t="shared" si="513"/>
        <v>0.40799999999999997</v>
      </c>
      <c r="W56" s="64">
        <v>1028.5</v>
      </c>
      <c r="X56" s="58">
        <f t="shared" ref="X56:X80" si="569">W56/$F56</f>
        <v>0.24683999999999998</v>
      </c>
      <c r="Y56" s="45">
        <f t="shared" si="20"/>
        <v>12268.31</v>
      </c>
      <c r="Z56" s="58">
        <f t="shared" si="21"/>
        <v>0.24536619999999998</v>
      </c>
      <c r="AA56" s="45">
        <f t="shared" si="51"/>
        <v>1363.1455555555556</v>
      </c>
      <c r="AB56" s="68">
        <f t="shared" si="557"/>
        <v>1404.0399222222222</v>
      </c>
      <c r="AD56" s="69">
        <f t="shared" si="93"/>
        <v>1.03</v>
      </c>
      <c r="AF56" s="74"/>
      <c r="AG56" s="45">
        <v>378.1</v>
      </c>
      <c r="AH56" s="58">
        <f t="shared" si="0"/>
        <v>0.26929433701683364</v>
      </c>
      <c r="AI56" s="45">
        <v>2421.5500000000002</v>
      </c>
      <c r="AJ56" s="58">
        <f t="shared" ref="AJ56" si="570">AI56/$AB56</f>
        <v>1.7247016709947462</v>
      </c>
      <c r="AK56" s="45"/>
      <c r="AL56" s="58">
        <f t="shared" si="516"/>
        <v>0</v>
      </c>
      <c r="AM56" s="45">
        <v>692.7</v>
      </c>
      <c r="AN56" s="58">
        <f t="shared" si="517"/>
        <v>0.49336203980841226</v>
      </c>
      <c r="AO56" s="45"/>
      <c r="AP56" s="58">
        <f t="shared" si="518"/>
        <v>0</v>
      </c>
      <c r="AQ56" s="45"/>
      <c r="AR56" s="58">
        <f t="shared" si="519"/>
        <v>0</v>
      </c>
      <c r="AS56" s="45"/>
      <c r="AT56" s="58">
        <f t="shared" ref="AT56:AT120" si="571">AS56/$AB56</f>
        <v>0</v>
      </c>
      <c r="AU56" s="45"/>
      <c r="AV56" s="58">
        <f t="shared" ref="AV56:AV120" si="572">AU56/$AB56</f>
        <v>0</v>
      </c>
      <c r="AW56" s="45"/>
      <c r="AX56" s="58">
        <f t="shared" ref="AX56:AX120" si="573">AW56/$AB56</f>
        <v>0</v>
      </c>
      <c r="AY56" s="45"/>
      <c r="AZ56" s="58">
        <f t="shared" ref="AZ56:AZ120" si="574">AY56/$AB56</f>
        <v>0</v>
      </c>
      <c r="BA56" s="45">
        <f t="shared" si="31"/>
        <v>3492.3500000000004</v>
      </c>
      <c r="BB56" s="58">
        <f t="shared" si="32"/>
        <v>0.20727983731833269</v>
      </c>
      <c r="BC56" s="45">
        <f t="shared" si="33"/>
        <v>388.03888888888895</v>
      </c>
      <c r="BD56" s="45">
        <f>AB56*BA1</f>
        <v>1460.2015191111111</v>
      </c>
      <c r="BE56" s="45">
        <f t="shared" si="34"/>
        <v>17522.418229333332</v>
      </c>
      <c r="BF56" s="130">
        <v>17522.419999999998</v>
      </c>
      <c r="BG56" s="130">
        <f t="shared" si="35"/>
        <v>1460.2016666666666</v>
      </c>
      <c r="BH56" s="45">
        <v>245.7</v>
      </c>
      <c r="BI56" s="58">
        <f t="shared" si="36"/>
        <v>0.16826442922838283</v>
      </c>
      <c r="BJ56" s="45"/>
      <c r="BK56" s="58">
        <f t="shared" si="36"/>
        <v>0</v>
      </c>
      <c r="BL56" s="45">
        <v>860</v>
      </c>
      <c r="BM56" s="58">
        <f t="shared" ref="BM56" si="575">BL56/$BG56</f>
        <v>0.5889597441449298</v>
      </c>
      <c r="BN56" s="45">
        <v>854</v>
      </c>
      <c r="BO56" s="58">
        <f t="shared" ref="BO56" si="576">BN56/$BG56</f>
        <v>0.58485072267415117</v>
      </c>
      <c r="BP56" s="45">
        <v>730</v>
      </c>
      <c r="BQ56" s="58">
        <f t="shared" ref="BQ56" si="577">BP56/$BG56</f>
        <v>0.4999309456113939</v>
      </c>
      <c r="BR56" s="45">
        <v>19586.68</v>
      </c>
      <c r="BS56" s="58">
        <f t="shared" ref="BS56" si="578">BR56/$BG56</f>
        <v>13.413681443544899</v>
      </c>
      <c r="BT56" s="45">
        <v>2102.58</v>
      </c>
      <c r="BU56" s="58">
        <f t="shared" ref="BU56" si="579">BT56/$BG56</f>
        <v>1.4399243940049378</v>
      </c>
      <c r="BV56" s="45">
        <v>2127.58</v>
      </c>
      <c r="BW56" s="58">
        <f t="shared" ref="BW56" si="580">BV56/$BG56</f>
        <v>1.4570453167998485</v>
      </c>
      <c r="BX56" s="45">
        <v>3150.43</v>
      </c>
      <c r="BY56" s="58">
        <f t="shared" ref="BY56" si="581">BX56/$BG56</f>
        <v>2.1575307520308269</v>
      </c>
      <c r="BZ56" s="45">
        <v>4021.28</v>
      </c>
      <c r="CA56" s="58">
        <f t="shared" ref="CA56" si="582">BZ56/$BG56</f>
        <v>2.753920976668748</v>
      </c>
      <c r="CB56" s="45">
        <v>1707.2</v>
      </c>
      <c r="CC56" s="58">
        <f t="shared" ref="CC56" si="583">CB56/$BG56</f>
        <v>1.1691535758188654</v>
      </c>
      <c r="CD56" s="45">
        <v>2193.5500000000002</v>
      </c>
      <c r="CE56" s="58">
        <f t="shared" ref="CE56" si="584">CD56/$BG56</f>
        <v>1.5022240078710591</v>
      </c>
      <c r="CF56" s="45">
        <f t="shared" si="556"/>
        <v>37579</v>
      </c>
      <c r="CG56" s="58">
        <f t="shared" si="106"/>
        <v>2.1446238590331701</v>
      </c>
    </row>
    <row r="57" spans="1:85" ht="15.75" x14ac:dyDescent="0.25">
      <c r="A57" s="44" t="s">
        <v>38</v>
      </c>
      <c r="B57" s="25">
        <v>338161.16879999998</v>
      </c>
      <c r="C57" s="26">
        <v>260017.26</v>
      </c>
      <c r="D57" s="26">
        <v>346689.68</v>
      </c>
      <c r="E57" s="45">
        <v>360557.2672</v>
      </c>
      <c r="F57" s="45">
        <f t="shared" si="290"/>
        <v>30046.438933333335</v>
      </c>
      <c r="G57" s="45">
        <f>21259.87+6669.76+833.72</f>
        <v>28763.35</v>
      </c>
      <c r="H57" s="58">
        <f t="shared" si="11"/>
        <v>0.95729647243121763</v>
      </c>
      <c r="I57" s="45">
        <f>20053.39+6291.25+810.42</f>
        <v>27155.059999999998</v>
      </c>
      <c r="J57" s="58">
        <f t="shared" si="12"/>
        <v>0.90376966336181497</v>
      </c>
      <c r="K57" s="45">
        <f>21574.8+6768.57+860.27</f>
        <v>29203.64</v>
      </c>
      <c r="L57" s="58">
        <f t="shared" si="13"/>
        <v>0.97195012243536327</v>
      </c>
      <c r="M57" s="45">
        <f>21170.82+6857.7+830.23</f>
        <v>28858.75</v>
      </c>
      <c r="N57" s="58">
        <f t="shared" si="14"/>
        <v>0.96047155751240387</v>
      </c>
      <c r="O57" s="64">
        <f>23042.66+15272.77+903.63</f>
        <v>39219.06</v>
      </c>
      <c r="P57" s="58">
        <f t="shared" si="15"/>
        <v>1.3052814706933744</v>
      </c>
      <c r="Q57" s="64">
        <f>22351.57+7125.69+876.53</f>
        <v>30353.789999999997</v>
      </c>
      <c r="R57" s="58">
        <f t="shared" si="511"/>
        <v>1.0102292011159328</v>
      </c>
      <c r="S57" s="64">
        <f>22405.95+7251.05-475.66+878.65</f>
        <v>30059.99</v>
      </c>
      <c r="T57" s="58">
        <f t="shared" si="512"/>
        <v>1.0004510040839361</v>
      </c>
      <c r="U57" s="64">
        <f>20727.09+6502.62+849</f>
        <v>28078.71</v>
      </c>
      <c r="V57" s="58">
        <f t="shared" si="513"/>
        <v>0.93451041111063748</v>
      </c>
      <c r="W57" s="64">
        <f>23283.78+6581.11+913.09-47.86</f>
        <v>30730.12</v>
      </c>
      <c r="X57" s="58">
        <f t="shared" si="569"/>
        <v>1.0227541462794845</v>
      </c>
      <c r="Y57" s="45">
        <f t="shared" si="20"/>
        <v>272422.46999999997</v>
      </c>
      <c r="Z57" s="58">
        <f t="shared" si="21"/>
        <v>0.75555950408534711</v>
      </c>
      <c r="AA57" s="45">
        <f t="shared" si="51"/>
        <v>30269.16333333333</v>
      </c>
      <c r="AB57" s="68">
        <v>32318</v>
      </c>
      <c r="AC57" s="74"/>
      <c r="AD57" s="69">
        <f t="shared" si="93"/>
        <v>1.0676872579563648</v>
      </c>
      <c r="AG57" s="45">
        <f>21814.43+6373.97+796.75</f>
        <v>28985.15</v>
      </c>
      <c r="AH57" s="58">
        <f t="shared" si="0"/>
        <v>0.89687325948387897</v>
      </c>
      <c r="AI57" s="45">
        <f>22504.84+6575.71+821.94</f>
        <v>29902.489999999998</v>
      </c>
      <c r="AJ57" s="58">
        <f t="shared" ref="AJ57" si="585">AI57/$AB57</f>
        <v>0.9252580605235472</v>
      </c>
      <c r="AK57" s="45"/>
      <c r="AL57" s="58">
        <f t="shared" si="516"/>
        <v>0</v>
      </c>
      <c r="AM57" s="45">
        <f>23270.43+6799.41+849.92</f>
        <v>30919.759999999998</v>
      </c>
      <c r="AN57" s="58">
        <f t="shared" si="517"/>
        <v>0.95673494646945967</v>
      </c>
      <c r="AO57" s="45">
        <f>21894.31-1799.24+6397.31+799.66</f>
        <v>27292.04</v>
      </c>
      <c r="AP57" s="58">
        <f t="shared" si="518"/>
        <v>0.84448418837799366</v>
      </c>
      <c r="AQ57" s="45">
        <f>17184.97+5021.27+627.66</f>
        <v>22833.9</v>
      </c>
      <c r="AR57" s="58">
        <f t="shared" si="519"/>
        <v>0.70653815211337345</v>
      </c>
      <c r="AS57" s="45">
        <f>16856.48-989.1+4488.84+561.11</f>
        <v>20917.330000000002</v>
      </c>
      <c r="AT57" s="58">
        <f t="shared" si="571"/>
        <v>0.64723466798688045</v>
      </c>
      <c r="AU57" s="45">
        <f>17622.67+5149.17+643.65</f>
        <v>23415.489999999998</v>
      </c>
      <c r="AV57" s="58">
        <f t="shared" si="572"/>
        <v>0.72453400581719163</v>
      </c>
      <c r="AW57" s="45">
        <f>19774.52+5777.92+722.24</f>
        <v>26274.680000000004</v>
      </c>
      <c r="AX57" s="58">
        <f t="shared" si="573"/>
        <v>0.81300451760628767</v>
      </c>
      <c r="AY57" s="45">
        <f>20941.59+6118.93+764.87</f>
        <v>27825.39</v>
      </c>
      <c r="AZ57" s="58">
        <f t="shared" si="574"/>
        <v>0.86098737545640203</v>
      </c>
      <c r="BA57" s="45">
        <f t="shared" si="31"/>
        <v>238366.22999999998</v>
      </c>
      <c r="BB57" s="58">
        <f t="shared" si="32"/>
        <v>0.6146374311529178</v>
      </c>
      <c r="BC57" s="45">
        <f t="shared" si="33"/>
        <v>26485.136666666665</v>
      </c>
      <c r="BD57" s="45">
        <f>AB57*BA1</f>
        <v>33610.720000000001</v>
      </c>
      <c r="BE57" s="45">
        <f t="shared" si="34"/>
        <v>403328.64</v>
      </c>
      <c r="BF57" s="130">
        <v>403328.64</v>
      </c>
      <c r="BG57" s="130">
        <f t="shared" si="35"/>
        <v>33610.720000000001</v>
      </c>
      <c r="BH57" s="45">
        <f>21661.08+6446.54+790.12</f>
        <v>28897.74</v>
      </c>
      <c r="BI57" s="58">
        <f t="shared" si="36"/>
        <v>0.85977747575773444</v>
      </c>
      <c r="BJ57" s="45">
        <f>24133+7042.28+880.28</f>
        <v>32055.559999999998</v>
      </c>
      <c r="BK57" s="58">
        <f t="shared" si="36"/>
        <v>0.95373023844773319</v>
      </c>
      <c r="BL57" s="45">
        <f>22350.22+30132.56+815.26</f>
        <v>53298.04</v>
      </c>
      <c r="BM57" s="58">
        <f t="shared" ref="BM57" si="586">BL57/$BG57</f>
        <v>1.5857452622258612</v>
      </c>
      <c r="BN57" s="45">
        <f>26630.76+7771.15+2179.4</f>
        <v>36581.31</v>
      </c>
      <c r="BO57" s="58">
        <f t="shared" ref="BO57" si="587">BN57/$BG57</f>
        <v>1.0883822185302783</v>
      </c>
      <c r="BP57" s="45">
        <f>23970.43+2265.26+3452.21</f>
        <v>29687.9</v>
      </c>
      <c r="BQ57" s="58">
        <f t="shared" ref="BQ57" si="588">BP57/$BG57</f>
        <v>0.88328664188092376</v>
      </c>
      <c r="BR57" s="45">
        <f>26310.1+43251.75+2203.83</f>
        <v>71765.680000000008</v>
      </c>
      <c r="BS57" s="58">
        <f t="shared" ref="BS57" si="589">BR57/$BG57</f>
        <v>2.1352021021864456</v>
      </c>
      <c r="BT57" s="45">
        <f>20566.68+6132.26+2098.6</f>
        <v>28797.54</v>
      </c>
      <c r="BU57" s="58">
        <f t="shared" ref="BU57" si="590">BT57/$BG57</f>
        <v>0.85679628404271013</v>
      </c>
      <c r="BV57" s="45">
        <f>21336.1+6226.12+1725.43</f>
        <v>29287.649999999998</v>
      </c>
      <c r="BW57" s="58">
        <f t="shared" ref="BW57" si="591">BV57/$BG57</f>
        <v>0.87137823884760568</v>
      </c>
      <c r="BX57" s="45">
        <f>23147.74+6754.78+1841.16</f>
        <v>31743.68</v>
      </c>
      <c r="BY57" s="58">
        <f t="shared" ref="BY57" si="592">BX57/$BG57</f>
        <v>0.94445105609162794</v>
      </c>
      <c r="BZ57" s="45">
        <v>31874</v>
      </c>
      <c r="CA57" s="58">
        <f t="shared" ref="CA57" si="593">BZ57/$BG57</f>
        <v>0.9483283904658989</v>
      </c>
      <c r="CB57" s="45">
        <f>23929.84+9740.27-0.08+1821.1</f>
        <v>35491.129999999997</v>
      </c>
      <c r="CC57" s="58">
        <f t="shared" ref="CC57" si="594">CB57/$BG57</f>
        <v>1.0559467336611652</v>
      </c>
      <c r="CD57" s="45">
        <f>43917.45+9927.64+5572.9</f>
        <v>59417.99</v>
      </c>
      <c r="CE57" s="58">
        <f t="shared" ref="CE57" si="595">CD57/$BG57</f>
        <v>1.767828538037864</v>
      </c>
      <c r="CF57" s="45">
        <f t="shared" si="556"/>
        <v>468898.22</v>
      </c>
      <c r="CG57" s="58">
        <f t="shared" si="106"/>
        <v>1.1625710983479873</v>
      </c>
    </row>
    <row r="58" spans="1:85" ht="15.75" x14ac:dyDescent="0.25">
      <c r="A58" s="44" t="s">
        <v>39</v>
      </c>
      <c r="B58" s="25">
        <v>18000</v>
      </c>
      <c r="C58" s="26">
        <v>7414</v>
      </c>
      <c r="D58" s="26">
        <v>9885.3333333333339</v>
      </c>
      <c r="E58" s="45">
        <v>18000</v>
      </c>
      <c r="F58" s="45">
        <f t="shared" si="290"/>
        <v>1500</v>
      </c>
      <c r="G58" s="45"/>
      <c r="H58" s="58">
        <f t="shared" si="11"/>
        <v>0</v>
      </c>
      <c r="I58" s="45"/>
      <c r="J58" s="58">
        <f t="shared" si="12"/>
        <v>0</v>
      </c>
      <c r="K58" s="45"/>
      <c r="L58" s="58">
        <f t="shared" si="13"/>
        <v>0</v>
      </c>
      <c r="M58" s="45"/>
      <c r="N58" s="58">
        <f t="shared" si="14"/>
        <v>0</v>
      </c>
      <c r="O58" s="64"/>
      <c r="P58" s="58">
        <f t="shared" si="15"/>
        <v>0</v>
      </c>
      <c r="Q58" s="64"/>
      <c r="R58" s="58">
        <f t="shared" si="511"/>
        <v>0</v>
      </c>
      <c r="S58" s="64"/>
      <c r="T58" s="58">
        <f t="shared" si="512"/>
        <v>0</v>
      </c>
      <c r="U58" s="64"/>
      <c r="V58" s="58">
        <f t="shared" si="513"/>
        <v>0</v>
      </c>
      <c r="W58" s="64">
        <v>9373.5499999999993</v>
      </c>
      <c r="X58" s="58">
        <f t="shared" si="569"/>
        <v>6.2490333333333332</v>
      </c>
      <c r="Y58" s="45">
        <f t="shared" si="20"/>
        <v>9373.5499999999993</v>
      </c>
      <c r="Z58" s="58">
        <f t="shared" si="21"/>
        <v>0.52075277777777773</v>
      </c>
      <c r="AA58" s="45">
        <f t="shared" si="51"/>
        <v>1041.5055555555555</v>
      </c>
      <c r="AB58" s="68">
        <f t="shared" si="557"/>
        <v>1072.7507222222221</v>
      </c>
      <c r="AD58" s="69">
        <f t="shared" si="93"/>
        <v>1.03</v>
      </c>
      <c r="AF58" s="74"/>
      <c r="AG58" s="45"/>
      <c r="AH58" s="58">
        <f t="shared" si="0"/>
        <v>0</v>
      </c>
      <c r="AI58" s="45"/>
      <c r="AJ58" s="58">
        <f t="shared" ref="AJ58" si="596">AI58/$AB58</f>
        <v>0</v>
      </c>
      <c r="AK58" s="45"/>
      <c r="AL58" s="58">
        <f t="shared" si="516"/>
        <v>0</v>
      </c>
      <c r="AM58" s="45"/>
      <c r="AN58" s="58">
        <f t="shared" si="517"/>
        <v>0</v>
      </c>
      <c r="AO58" s="45"/>
      <c r="AP58" s="58">
        <f t="shared" si="518"/>
        <v>0</v>
      </c>
      <c r="AQ58" s="45"/>
      <c r="AR58" s="58">
        <f t="shared" si="519"/>
        <v>0</v>
      </c>
      <c r="AS58" s="45"/>
      <c r="AT58" s="58">
        <f t="shared" si="571"/>
        <v>0</v>
      </c>
      <c r="AU58" s="45"/>
      <c r="AV58" s="58">
        <f t="shared" si="572"/>
        <v>0</v>
      </c>
      <c r="AW58" s="45"/>
      <c r="AX58" s="58">
        <f t="shared" si="573"/>
        <v>0</v>
      </c>
      <c r="AY58" s="45"/>
      <c r="AZ58" s="58">
        <f t="shared" si="574"/>
        <v>0</v>
      </c>
      <c r="BA58" s="45">
        <f t="shared" si="31"/>
        <v>0</v>
      </c>
      <c r="BB58" s="58">
        <f t="shared" si="32"/>
        <v>0</v>
      </c>
      <c r="BC58" s="45">
        <f t="shared" si="33"/>
        <v>0</v>
      </c>
      <c r="BD58" s="45">
        <f>AB58*BA1</f>
        <v>1115.660751111111</v>
      </c>
      <c r="BE58" s="45">
        <f t="shared" si="34"/>
        <v>13387.929013333332</v>
      </c>
      <c r="BF58" s="130">
        <v>13000</v>
      </c>
      <c r="BG58" s="130">
        <f t="shared" si="35"/>
        <v>1083.3333333333333</v>
      </c>
      <c r="BH58" s="45"/>
      <c r="BI58" s="58">
        <f t="shared" si="36"/>
        <v>0</v>
      </c>
      <c r="BJ58" s="45"/>
      <c r="BK58" s="58">
        <f t="shared" si="36"/>
        <v>0</v>
      </c>
      <c r="BL58" s="45">
        <v>12726.48</v>
      </c>
      <c r="BM58" s="58">
        <f t="shared" ref="BM58" si="597">BL58/$BG58</f>
        <v>11.74752</v>
      </c>
      <c r="BN58" s="45"/>
      <c r="BO58" s="58">
        <f t="shared" ref="BO58" si="598">BN58/$BG58</f>
        <v>0</v>
      </c>
      <c r="BP58" s="45"/>
      <c r="BQ58" s="58">
        <f t="shared" ref="BQ58" si="599">BP58/$BG58</f>
        <v>0</v>
      </c>
      <c r="BR58" s="45">
        <v>24624.42</v>
      </c>
      <c r="BS58" s="58">
        <f t="shared" ref="BS58" si="600">BR58/$BG58</f>
        <v>22.730233846153848</v>
      </c>
      <c r="BT58" s="45"/>
      <c r="BU58" s="58">
        <f t="shared" ref="BU58" si="601">BT58/$BG58</f>
        <v>0</v>
      </c>
      <c r="BV58" s="45"/>
      <c r="BW58" s="58">
        <f t="shared" ref="BW58" si="602">BV58/$BG58</f>
        <v>0</v>
      </c>
      <c r="BX58" s="45"/>
      <c r="BY58" s="58">
        <f t="shared" ref="BY58" si="603">BX58/$BG58</f>
        <v>0</v>
      </c>
      <c r="BZ58" s="45"/>
      <c r="CA58" s="58">
        <f t="shared" ref="CA58" si="604">BZ58/$BG58</f>
        <v>0</v>
      </c>
      <c r="CB58" s="45"/>
      <c r="CC58" s="58">
        <f t="shared" ref="CC58" si="605">CB58/$BG58</f>
        <v>0</v>
      </c>
      <c r="CD58" s="45"/>
      <c r="CE58" s="58">
        <f t="shared" ref="CE58" si="606">CD58/$BG58</f>
        <v>0</v>
      </c>
      <c r="CF58" s="45">
        <f t="shared" si="556"/>
        <v>37350.899999999994</v>
      </c>
      <c r="CG58" s="58">
        <f t="shared" si="106"/>
        <v>2.8731461538461534</v>
      </c>
    </row>
    <row r="59" spans="1:85" ht="15.75" x14ac:dyDescent="0.25">
      <c r="A59" s="44" t="s">
        <v>40</v>
      </c>
      <c r="B59" s="25">
        <v>127925.6</v>
      </c>
      <c r="C59" s="26">
        <v>86194.599999999991</v>
      </c>
      <c r="D59" s="26">
        <v>114926.13333333333</v>
      </c>
      <c r="E59" s="45">
        <v>119523.17866666667</v>
      </c>
      <c r="F59" s="45">
        <f t="shared" si="290"/>
        <v>9960.2648888888889</v>
      </c>
      <c r="G59" s="45">
        <f>16665.88-8286.26-2776</f>
        <v>5603.6200000000008</v>
      </c>
      <c r="H59" s="58">
        <f t="shared" si="11"/>
        <v>0.56259748736713655</v>
      </c>
      <c r="I59" s="45">
        <f>6816.14-8286.26-2776</f>
        <v>-4246.12</v>
      </c>
      <c r="J59" s="58">
        <f t="shared" si="12"/>
        <v>-0.42630593135497152</v>
      </c>
      <c r="K59" s="45">
        <f>8060.51+4065.7+1361.32</f>
        <v>13487.529999999999</v>
      </c>
      <c r="L59" s="58">
        <f t="shared" si="13"/>
        <v>1.3541336651644604</v>
      </c>
      <c r="M59" s="45">
        <f>7506.99+1505.69+504.4</f>
        <v>9517.08</v>
      </c>
      <c r="N59" s="58">
        <f t="shared" si="14"/>
        <v>0.9555047085762467</v>
      </c>
      <c r="O59" s="64">
        <f>13150.2+900.65+301.73</f>
        <v>14352.58</v>
      </c>
      <c r="P59" s="58">
        <f t="shared" si="15"/>
        <v>1.4409837650011628</v>
      </c>
      <c r="Q59" s="64">
        <f>11782.96-1983.62-664.53</f>
        <v>9134.81</v>
      </c>
      <c r="R59" s="58">
        <f t="shared" si="511"/>
        <v>0.91712520720109358</v>
      </c>
      <c r="S59" s="64">
        <f>20303.39-11090.75-3715.39</f>
        <v>5497.25</v>
      </c>
      <c r="T59" s="58">
        <f t="shared" si="512"/>
        <v>0.55191805251408754</v>
      </c>
      <c r="U59" s="64">
        <f>11517.12-2776.58-930.17</f>
        <v>7810.3700000000008</v>
      </c>
      <c r="V59" s="58">
        <f t="shared" si="513"/>
        <v>0.78415284002263941</v>
      </c>
      <c r="W59" s="64">
        <f>20009.39-14105.61-4725.38</f>
        <v>1178.3999999999987</v>
      </c>
      <c r="X59" s="58">
        <f t="shared" si="569"/>
        <v>0.11831010652282506</v>
      </c>
      <c r="Y59" s="45">
        <f t="shared" si="20"/>
        <v>62335.520000000004</v>
      </c>
      <c r="Z59" s="58">
        <f t="shared" si="21"/>
        <v>0.52153499175122342</v>
      </c>
      <c r="AA59" s="45">
        <f t="shared" si="51"/>
        <v>6926.1688888888893</v>
      </c>
      <c r="AB59" s="68">
        <v>7000</v>
      </c>
      <c r="AD59" s="69">
        <f t="shared" si="93"/>
        <v>1.0106597330061575</v>
      </c>
      <c r="AF59" s="74"/>
      <c r="AG59" s="45">
        <f>8898.44</f>
        <v>8898.44</v>
      </c>
      <c r="AH59" s="58">
        <f t="shared" si="0"/>
        <v>1.2712057142857143</v>
      </c>
      <c r="AI59" s="45">
        <v>12791.68</v>
      </c>
      <c r="AJ59" s="58">
        <f t="shared" ref="AJ59" si="607">AI59/$AB59</f>
        <v>1.8273828571428572</v>
      </c>
      <c r="AK59" s="45"/>
      <c r="AL59" s="58">
        <f t="shared" si="516"/>
        <v>0</v>
      </c>
      <c r="AM59" s="45">
        <f>21629.9</f>
        <v>21629.9</v>
      </c>
      <c r="AN59" s="58">
        <f t="shared" si="517"/>
        <v>3.0899857142857146</v>
      </c>
      <c r="AO59" s="45">
        <v>40813.29</v>
      </c>
      <c r="AP59" s="58">
        <f t="shared" si="518"/>
        <v>5.83047</v>
      </c>
      <c r="AQ59" s="45">
        <f>12903.55</f>
        <v>12903.55</v>
      </c>
      <c r="AR59" s="58">
        <f t="shared" si="519"/>
        <v>1.8433642857142856</v>
      </c>
      <c r="AS59" s="45">
        <v>4231.62</v>
      </c>
      <c r="AT59" s="58">
        <f t="shared" si="571"/>
        <v>0.60451714285714286</v>
      </c>
      <c r="AU59" s="45">
        <f>4988.16</f>
        <v>4988.16</v>
      </c>
      <c r="AV59" s="58">
        <f t="shared" si="572"/>
        <v>0.71259428571428574</v>
      </c>
      <c r="AW59" s="45"/>
      <c r="AX59" s="58">
        <f t="shared" si="573"/>
        <v>0</v>
      </c>
      <c r="AY59" s="45"/>
      <c r="AZ59" s="58">
        <f t="shared" si="574"/>
        <v>0</v>
      </c>
      <c r="BA59" s="45">
        <f t="shared" si="31"/>
        <v>106256.64</v>
      </c>
      <c r="BB59" s="58">
        <f t="shared" si="32"/>
        <v>1.2649600000000001</v>
      </c>
      <c r="BC59" s="45">
        <f t="shared" si="33"/>
        <v>11806.293333333333</v>
      </c>
      <c r="BD59" s="45">
        <f>BC59*BA1</f>
        <v>12278.545066666667</v>
      </c>
      <c r="BE59" s="45">
        <f t="shared" si="34"/>
        <v>147342.54080000002</v>
      </c>
      <c r="BF59" s="130">
        <v>147342.54</v>
      </c>
      <c r="BG59" s="130">
        <f t="shared" si="35"/>
        <v>12278.545</v>
      </c>
      <c r="BH59" s="45">
        <f>10795.95</f>
        <v>10795.95</v>
      </c>
      <c r="BI59" s="58">
        <f t="shared" si="36"/>
        <v>0.87925320141759478</v>
      </c>
      <c r="BJ59" s="45"/>
      <c r="BK59" s="58">
        <f t="shared" si="36"/>
        <v>0</v>
      </c>
      <c r="BL59" s="45">
        <v>4831.6099999999997</v>
      </c>
      <c r="BM59" s="58">
        <f t="shared" ref="BM59" si="608">BL59/$BG59</f>
        <v>0.39350020706850852</v>
      </c>
      <c r="BN59" s="45">
        <f>8338.58</f>
        <v>8338.58</v>
      </c>
      <c r="BO59" s="58">
        <f t="shared" ref="BO59" si="609">BN59/$BG59</f>
        <v>0.6791179248029795</v>
      </c>
      <c r="BP59" s="45">
        <v>2045.04</v>
      </c>
      <c r="BQ59" s="58">
        <f t="shared" ref="BQ59" si="610">BP59/$BG59</f>
        <v>0.16655393615448735</v>
      </c>
      <c r="BR59" s="45">
        <f>26376.65</f>
        <v>26376.65</v>
      </c>
      <c r="BS59" s="58">
        <f t="shared" ref="BS59" si="611">BR59/$BG59</f>
        <v>2.1481901968026342</v>
      </c>
      <c r="BT59" s="45">
        <f>3758.01</f>
        <v>3758.01</v>
      </c>
      <c r="BU59" s="58">
        <f t="shared" ref="BU59" si="612">BT59/$BG59</f>
        <v>0.30606313695963161</v>
      </c>
      <c r="BV59" s="45"/>
      <c r="BW59" s="58">
        <f t="shared" ref="BW59" si="613">BV59/$BG59</f>
        <v>0</v>
      </c>
      <c r="BX59" s="45">
        <f>5647.2</f>
        <v>5647.2</v>
      </c>
      <c r="BY59" s="58">
        <f t="shared" ref="BY59" si="614">BX59/$BG59</f>
        <v>0.45992420111666321</v>
      </c>
      <c r="BZ59" s="45"/>
      <c r="CA59" s="58">
        <f t="shared" ref="CA59" si="615">BZ59/$BG59</f>
        <v>0</v>
      </c>
      <c r="CB59" s="45">
        <v>494.21</v>
      </c>
      <c r="CC59" s="58">
        <f t="shared" ref="CC59" si="616">CB59/$BG59</f>
        <v>4.0249883027671435E-2</v>
      </c>
      <c r="CD59" s="45">
        <f>3250.8</f>
        <v>3250.8</v>
      </c>
      <c r="CE59" s="58">
        <f t="shared" ref="CE59" si="617">CD59/$BG59</f>
        <v>0.26475449656290712</v>
      </c>
      <c r="CF59" s="45">
        <f t="shared" si="556"/>
        <v>65538.05</v>
      </c>
      <c r="CG59" s="58">
        <f t="shared" si="106"/>
        <v>0.44480059865942312</v>
      </c>
    </row>
    <row r="60" spans="1:85" ht="15.75" x14ac:dyDescent="0.25">
      <c r="A60" s="44" t="s">
        <v>41</v>
      </c>
      <c r="B60" s="25">
        <v>104061.83</v>
      </c>
      <c r="C60" s="26">
        <v>74806.710000000006</v>
      </c>
      <c r="D60" s="26">
        <v>99742.28</v>
      </c>
      <c r="E60" s="45">
        <v>103731.9712</v>
      </c>
      <c r="F60" s="45">
        <f t="shared" si="290"/>
        <v>8644.3309333333327</v>
      </c>
      <c r="G60" s="45">
        <f>1389.98+5467.19+1831.51</f>
        <v>8688.68</v>
      </c>
      <c r="H60" s="58">
        <f t="shared" si="11"/>
        <v>1.0051304221238979</v>
      </c>
      <c r="I60" s="45">
        <f>5467.19+1831.51</f>
        <v>7298.7</v>
      </c>
      <c r="J60" s="58">
        <f t="shared" si="12"/>
        <v>0.84433370914289541</v>
      </c>
      <c r="K60" s="45">
        <f>7669.16+2569.15</f>
        <v>10238.31</v>
      </c>
      <c r="L60" s="58">
        <f t="shared" si="13"/>
        <v>1.184395886617452</v>
      </c>
      <c r="M60" s="45">
        <f>6649.42+2011.71</f>
        <v>8661.130000000001</v>
      </c>
      <c r="N60" s="58">
        <f t="shared" si="14"/>
        <v>1.0019433622794205</v>
      </c>
      <c r="O60" s="64">
        <f>1017.96+6054.8+2028.29</f>
        <v>9101.0499999999993</v>
      </c>
      <c r="P60" s="58">
        <f t="shared" si="15"/>
        <v>1.0528345189684394</v>
      </c>
      <c r="Q60" s="64">
        <f>1418+7699.89+2466</f>
        <v>11583.89</v>
      </c>
      <c r="R60" s="58">
        <f t="shared" si="511"/>
        <v>1.3400562853663385</v>
      </c>
      <c r="S60" s="64">
        <f>2773+7051.12+2140.28</f>
        <v>11964.4</v>
      </c>
      <c r="T60" s="58">
        <f t="shared" si="512"/>
        <v>1.384074729701078</v>
      </c>
      <c r="U60" s="64">
        <f>6704.13+2245.86</f>
        <v>8949.99</v>
      </c>
      <c r="V60" s="58">
        <f t="shared" si="513"/>
        <v>1.0353594823039476</v>
      </c>
      <c r="W60" s="64">
        <f>4888.1-361.87-7.79</f>
        <v>4518.4400000000005</v>
      </c>
      <c r="X60" s="58">
        <f t="shared" si="569"/>
        <v>0.52270557835499809</v>
      </c>
      <c r="Y60" s="45">
        <f t="shared" si="20"/>
        <v>81004.590000000011</v>
      </c>
      <c r="Z60" s="58">
        <f t="shared" si="21"/>
        <v>0.7809028312382057</v>
      </c>
      <c r="AA60" s="45">
        <f t="shared" si="51"/>
        <v>9000.510000000002</v>
      </c>
      <c r="AB60" s="68">
        <v>7827.96</v>
      </c>
      <c r="AD60" s="69">
        <f t="shared" si="93"/>
        <v>0.86972404897055811</v>
      </c>
      <c r="AF60" s="74"/>
      <c r="AG60" s="45"/>
      <c r="AH60" s="58">
        <f t="shared" si="0"/>
        <v>0</v>
      </c>
      <c r="AI60" s="45"/>
      <c r="AJ60" s="58">
        <f t="shared" ref="AJ60" si="618">AI60/$AB60</f>
        <v>0</v>
      </c>
      <c r="AK60" s="45"/>
      <c r="AL60" s="58">
        <f t="shared" si="516"/>
        <v>0</v>
      </c>
      <c r="AM60" s="45"/>
      <c r="AN60" s="58">
        <f t="shared" si="517"/>
        <v>0</v>
      </c>
      <c r="AO60" s="45"/>
      <c r="AP60" s="58">
        <f t="shared" si="518"/>
        <v>0</v>
      </c>
      <c r="AQ60" s="45"/>
      <c r="AR60" s="58">
        <f t="shared" si="519"/>
        <v>0</v>
      </c>
      <c r="AS60" s="45"/>
      <c r="AT60" s="58">
        <f t="shared" si="571"/>
        <v>0</v>
      </c>
      <c r="AU60" s="45"/>
      <c r="AV60" s="58">
        <f t="shared" si="572"/>
        <v>0</v>
      </c>
      <c r="AW60" s="45"/>
      <c r="AX60" s="58">
        <f t="shared" si="573"/>
        <v>0</v>
      </c>
      <c r="AY60" s="45"/>
      <c r="AZ60" s="58">
        <f t="shared" si="574"/>
        <v>0</v>
      </c>
      <c r="BA60" s="45">
        <f t="shared" si="31"/>
        <v>0</v>
      </c>
      <c r="BB60" s="58">
        <f t="shared" si="32"/>
        <v>0</v>
      </c>
      <c r="BC60" s="45">
        <f t="shared" si="33"/>
        <v>0</v>
      </c>
      <c r="BD60" s="45">
        <f>AB60*BA1</f>
        <v>8141.0784000000003</v>
      </c>
      <c r="BE60" s="45">
        <f t="shared" si="34"/>
        <v>97692.940800000011</v>
      </c>
      <c r="BF60" s="130">
        <v>97692.94</v>
      </c>
      <c r="BG60" s="130">
        <f t="shared" si="35"/>
        <v>8141.0783333333338</v>
      </c>
      <c r="BH60" s="45"/>
      <c r="BI60" s="58">
        <f t="shared" si="36"/>
        <v>0</v>
      </c>
      <c r="BJ60" s="45"/>
      <c r="BK60" s="58">
        <f t="shared" si="36"/>
        <v>0</v>
      </c>
      <c r="BL60" s="45">
        <v>1563.08</v>
      </c>
      <c r="BM60" s="58">
        <f t="shared" ref="BM60" si="619">BL60/$BG60</f>
        <v>0.1919991352496915</v>
      </c>
      <c r="BN60" s="45"/>
      <c r="BO60" s="58">
        <f t="shared" ref="BO60" si="620">BN60/$BG60</f>
        <v>0</v>
      </c>
      <c r="BP60" s="45"/>
      <c r="BQ60" s="58">
        <f t="shared" ref="BQ60" si="621">BP60/$BG60</f>
        <v>0</v>
      </c>
      <c r="BR60" s="45">
        <v>6913.14</v>
      </c>
      <c r="BS60" s="58">
        <f t="shared" ref="BS60" si="622">BR60/$BG60</f>
        <v>0.84916760617502141</v>
      </c>
      <c r="BT60" s="45">
        <v>1663.5</v>
      </c>
      <c r="BU60" s="58">
        <f t="shared" ref="BU60" si="623">BT60/$BG60</f>
        <v>0.20433411053040271</v>
      </c>
      <c r="BV60" s="45"/>
      <c r="BW60" s="58">
        <f t="shared" ref="BW60" si="624">BV60/$BG60</f>
        <v>0</v>
      </c>
      <c r="BX60" s="45"/>
      <c r="BY60" s="58">
        <f t="shared" ref="BY60" si="625">BX60/$BG60</f>
        <v>0</v>
      </c>
      <c r="BZ60" s="45"/>
      <c r="CA60" s="58">
        <f t="shared" ref="CA60" si="626">BZ60/$BG60</f>
        <v>0</v>
      </c>
      <c r="CB60" s="45">
        <v>358.05</v>
      </c>
      <c r="CC60" s="58">
        <f t="shared" ref="CC60" si="627">CB60/$BG60</f>
        <v>4.3980660219663771E-2</v>
      </c>
      <c r="CD60" s="45">
        <f>73017.61-1633.5</f>
        <v>71384.11</v>
      </c>
      <c r="CE60" s="58">
        <f t="shared" ref="CE60" si="628">CD60/$BG60</f>
        <v>8.7683851054129391</v>
      </c>
      <c r="CF60" s="45">
        <f t="shared" si="556"/>
        <v>81881.88</v>
      </c>
      <c r="CG60" s="58">
        <f t="shared" si="106"/>
        <v>0.83815555146564324</v>
      </c>
    </row>
    <row r="61" spans="1:85" ht="15.75" customHeight="1" x14ac:dyDescent="0.25">
      <c r="A61" s="44" t="s">
        <v>115</v>
      </c>
      <c r="B61" s="25">
        <v>37996.748624999993</v>
      </c>
      <c r="C61" s="26">
        <v>30225.109999999997</v>
      </c>
      <c r="D61" s="26">
        <v>40300.14666666666</v>
      </c>
      <c r="E61" s="45">
        <v>42315.153999999995</v>
      </c>
      <c r="F61" s="45">
        <f t="shared" si="290"/>
        <v>3526.2628333333328</v>
      </c>
      <c r="G61" s="45">
        <f>2455.6-1061.66+1948.68-36</f>
        <v>3306.62</v>
      </c>
      <c r="H61" s="58">
        <f t="shared" si="11"/>
        <v>0.93771229096791198</v>
      </c>
      <c r="I61" s="45">
        <f>2576.72-1061.66+1948.68-36</f>
        <v>3427.74</v>
      </c>
      <c r="J61" s="58">
        <f t="shared" si="12"/>
        <v>0.97206026947225588</v>
      </c>
      <c r="K61" s="45">
        <f>(708.88+1619.26)-1061.66+2067.32-38+108.6-36</f>
        <v>3368.4</v>
      </c>
      <c r="L61" s="58">
        <f t="shared" si="13"/>
        <v>0.95523225556499236</v>
      </c>
      <c r="M61" s="45">
        <f>2573.78-891.5+2063.4-38</f>
        <v>3707.6800000000003</v>
      </c>
      <c r="N61" s="58">
        <f t="shared" si="14"/>
        <v>1.0514474318113083</v>
      </c>
      <c r="O61" s="64">
        <f>2180.9-1065.16+1954.8-38</f>
        <v>3032.54</v>
      </c>
      <c r="P61" s="58">
        <f t="shared" si="15"/>
        <v>0.85998694462981284</v>
      </c>
      <c r="Q61" s="64">
        <f>1949.5-1077.08+7660.77-36-5585.27</f>
        <v>2911.92</v>
      </c>
      <c r="R61" s="58">
        <f t="shared" si="511"/>
        <v>0.82578075929961181</v>
      </c>
      <c r="S61" s="64">
        <f>2282.22-1330.63+1963.8-36</f>
        <v>2879.3899999999994</v>
      </c>
      <c r="T61" s="58">
        <f t="shared" si="512"/>
        <v>0.81655569538988326</v>
      </c>
      <c r="U61" s="64">
        <f>2012.88-1171.96+2063.4-36</f>
        <v>2868.32</v>
      </c>
      <c r="V61" s="58">
        <f t="shared" si="513"/>
        <v>0.81341639451436254</v>
      </c>
      <c r="W61" s="64">
        <f>1984.54-1171.96+1954.8-36</f>
        <v>2731.38</v>
      </c>
      <c r="X61" s="58">
        <f t="shared" si="569"/>
        <v>0.7745820799801415</v>
      </c>
      <c r="Y61" s="45">
        <f t="shared" si="20"/>
        <v>28233.99</v>
      </c>
      <c r="Z61" s="58">
        <f t="shared" si="21"/>
        <v>0.66723117680252342</v>
      </c>
      <c r="AA61" s="45">
        <f t="shared" si="51"/>
        <v>3137.11</v>
      </c>
      <c r="AB61" s="68">
        <f t="shared" si="557"/>
        <v>3231.2233000000001</v>
      </c>
      <c r="AD61" s="69">
        <f t="shared" si="93"/>
        <v>1.03</v>
      </c>
      <c r="AF61" s="74"/>
      <c r="AG61" s="45">
        <f>1765.77-811.76+1931.2-34</f>
        <v>2851.21</v>
      </c>
      <c r="AH61" s="58">
        <f t="shared" si="0"/>
        <v>0.88239336476683616</v>
      </c>
      <c r="AI61" s="45">
        <f>1759.04-944.94+1616.2-34</f>
        <v>2396.3000000000002</v>
      </c>
      <c r="AJ61" s="58">
        <f t="shared" ref="AJ61" si="629">AI61/$AB61</f>
        <v>0.74160767533460159</v>
      </c>
      <c r="AK61" s="45"/>
      <c r="AL61" s="58">
        <f t="shared" si="516"/>
        <v>0</v>
      </c>
      <c r="AM61" s="45">
        <f>1531.11-1039.56+1946.83-34</f>
        <v>2404.38</v>
      </c>
      <c r="AN61" s="58">
        <f t="shared" si="517"/>
        <v>0.74410827626800047</v>
      </c>
      <c r="AO61" s="45">
        <f>-675.48+1937.49-34</f>
        <v>1228.01</v>
      </c>
      <c r="AP61" s="58">
        <f t="shared" si="518"/>
        <v>0.38004491982958899</v>
      </c>
      <c r="AQ61" s="45">
        <f>1937.49-34</f>
        <v>1903.49</v>
      </c>
      <c r="AR61" s="58">
        <f t="shared" si="519"/>
        <v>0.5890926820192216</v>
      </c>
      <c r="AS61" s="45">
        <f>770.57-386.4+1937.49-34</f>
        <v>2287.66</v>
      </c>
      <c r="AT61" s="58">
        <f t="shared" si="571"/>
        <v>0.70798573407167487</v>
      </c>
      <c r="AU61" s="45">
        <f>1385-386.4+1937.49-34</f>
        <v>2902.09</v>
      </c>
      <c r="AV61" s="58">
        <f t="shared" si="572"/>
        <v>0.89813972311972379</v>
      </c>
      <c r="AW61" s="45">
        <f>959.11-647.22+1937.49-34</f>
        <v>2215.38</v>
      </c>
      <c r="AX61" s="58">
        <f t="shared" si="573"/>
        <v>0.68561649700904304</v>
      </c>
      <c r="AY61" s="45">
        <f>959.11-647.22+1937.49-34</f>
        <v>2215.38</v>
      </c>
      <c r="AZ61" s="58">
        <f t="shared" si="574"/>
        <v>0.68561649700904304</v>
      </c>
      <c r="BA61" s="45">
        <f t="shared" si="31"/>
        <v>20403.900000000001</v>
      </c>
      <c r="BB61" s="58">
        <f t="shared" si="32"/>
        <v>0.52621711411897776</v>
      </c>
      <c r="BC61" s="45">
        <f t="shared" si="33"/>
        <v>2267.1000000000004</v>
      </c>
      <c r="BD61" s="45">
        <f>AB61*BA1</f>
        <v>3360.4722320000001</v>
      </c>
      <c r="BE61" s="45">
        <f t="shared" si="34"/>
        <v>40325.666784000001</v>
      </c>
      <c r="BF61" s="130">
        <v>40325.67</v>
      </c>
      <c r="BG61" s="130">
        <f t="shared" si="35"/>
        <v>3360.4724999999999</v>
      </c>
      <c r="BH61" s="45">
        <f>820.98-484.92+2004.13-34</f>
        <v>2306.19</v>
      </c>
      <c r="BI61" s="58">
        <f t="shared" si="36"/>
        <v>0.68626956477102552</v>
      </c>
      <c r="BJ61" s="45">
        <f>1118.25-668.88+2091.26-36</f>
        <v>2504.63</v>
      </c>
      <c r="BK61" s="58">
        <f t="shared" si="36"/>
        <v>0.74532078450277461</v>
      </c>
      <c r="BL61" s="45">
        <f>842.44-668.88+2012.12-36</f>
        <v>2149.6799999999998</v>
      </c>
      <c r="BM61" s="58">
        <f t="shared" ref="BM61" si="630">BL61/$BG61</f>
        <v>0.63969575706987636</v>
      </c>
      <c r="BN61" s="45">
        <f>860.53-668.88+2020.77-34</f>
        <v>2178.42</v>
      </c>
      <c r="BO61" s="58">
        <f t="shared" ref="BO61" si="631">BN61/$BG61</f>
        <v>0.64824812582159208</v>
      </c>
      <c r="BP61" s="45">
        <f>871.91-738.12+2012.12-34</f>
        <v>2111.91</v>
      </c>
      <c r="BQ61" s="58">
        <f t="shared" ref="BQ61" si="632">BP61/$BG61</f>
        <v>0.62845626619470918</v>
      </c>
      <c r="BR61" s="45">
        <f>733.97-738.12+1657.04-247.84</f>
        <v>1405.05</v>
      </c>
      <c r="BS61" s="58">
        <f t="shared" ref="BS61" si="633">BR61/$BG61</f>
        <v>0.41811084601942139</v>
      </c>
      <c r="BT61" s="45">
        <f>713.09-693.66+1657.04-30</f>
        <v>1646.47</v>
      </c>
      <c r="BU61" s="58">
        <f t="shared" ref="BU61" si="634">BT61/$BG61</f>
        <v>0.48995193384263674</v>
      </c>
      <c r="BV61" s="45">
        <f>713.09-548.76+1884.32-30</f>
        <v>2018.65</v>
      </c>
      <c r="BW61" s="58">
        <f t="shared" ref="BW61" si="635">BV61/$BG61</f>
        <v>0.60070421644575289</v>
      </c>
      <c r="BX61" s="45">
        <f>1380.9-548.76+2452.53-32</f>
        <v>3252.67</v>
      </c>
      <c r="BY61" s="58">
        <f t="shared" ref="BY61" si="636">BX61/$BG61</f>
        <v>0.96792043380804338</v>
      </c>
      <c r="BZ61" s="45">
        <v>2027.56</v>
      </c>
      <c r="CA61" s="58">
        <f t="shared" ref="CA61" si="637">BZ61/$BG61</f>
        <v>0.60335562930510522</v>
      </c>
      <c r="CB61" s="45">
        <f>3409.2-30+416.51-548.76</f>
        <v>3246.95</v>
      </c>
      <c r="CC61" s="58">
        <f t="shared" ref="CC61" si="638">CB61/$BG61</f>
        <v>0.96621829221932332</v>
      </c>
      <c r="CD61" s="45">
        <f>451.12-327.6+2360.32-30</f>
        <v>2453.84</v>
      </c>
      <c r="CE61" s="58">
        <f t="shared" ref="CE61" si="639">CD61/$BG61</f>
        <v>0.73020683847286361</v>
      </c>
      <c r="CF61" s="45">
        <f t="shared" si="556"/>
        <v>27302.02</v>
      </c>
      <c r="CG61" s="58">
        <f t="shared" si="106"/>
        <v>0.67703822403942704</v>
      </c>
    </row>
    <row r="62" spans="1:85" ht="15.75" x14ac:dyDescent="0.25">
      <c r="A62" s="44" t="s">
        <v>116</v>
      </c>
      <c r="B62" s="25">
        <v>110511.11692499998</v>
      </c>
      <c r="C62" s="26">
        <v>70044.3</v>
      </c>
      <c r="D62" s="26">
        <v>93392.400000000009</v>
      </c>
      <c r="E62" s="45">
        <v>98062.020000000019</v>
      </c>
      <c r="F62" s="45">
        <f t="shared" si="290"/>
        <v>8171.8350000000019</v>
      </c>
      <c r="G62" s="45">
        <f>168-36</f>
        <v>132</v>
      </c>
      <c r="H62" s="58">
        <f t="shared" si="11"/>
        <v>1.6153042737647047E-2</v>
      </c>
      <c r="I62" s="45">
        <f>12272-136</f>
        <v>12136</v>
      </c>
      <c r="J62" s="58">
        <f t="shared" si="12"/>
        <v>1.4851009595763984</v>
      </c>
      <c r="K62" s="45"/>
      <c r="L62" s="58">
        <f t="shared" si="13"/>
        <v>0</v>
      </c>
      <c r="M62" s="45">
        <f>12881-36</f>
        <v>12845</v>
      </c>
      <c r="N62" s="58">
        <f t="shared" si="14"/>
        <v>1.5718623785233057</v>
      </c>
      <c r="O62" s="64">
        <v>-36</v>
      </c>
      <c r="P62" s="58">
        <f t="shared" si="15"/>
        <v>-4.4053752920855584E-3</v>
      </c>
      <c r="Q62" s="64">
        <f>5585.27+17404.5-34</f>
        <v>22955.77</v>
      </c>
      <c r="R62" s="58">
        <f t="shared" si="511"/>
        <v>2.8091328324666365</v>
      </c>
      <c r="S62" s="64">
        <f>10058-36</f>
        <v>10022</v>
      </c>
      <c r="T62" s="58">
        <f t="shared" si="512"/>
        <v>1.226407532702263</v>
      </c>
      <c r="U62" s="64">
        <f>10034.5-36+9682</f>
        <v>19680.5</v>
      </c>
      <c r="V62" s="58">
        <f t="shared" si="513"/>
        <v>2.4083330121080513</v>
      </c>
      <c r="W62" s="64">
        <f>14053-36</f>
        <v>14017</v>
      </c>
      <c r="X62" s="58">
        <f t="shared" si="569"/>
        <v>1.7152818185878689</v>
      </c>
      <c r="Y62" s="45">
        <f t="shared" si="20"/>
        <v>91752.27</v>
      </c>
      <c r="Z62" s="58">
        <f t="shared" si="21"/>
        <v>0.9356555167841738</v>
      </c>
      <c r="AA62" s="45">
        <f t="shared" si="51"/>
        <v>10194.696666666667</v>
      </c>
      <c r="AB62" s="68">
        <f t="shared" si="557"/>
        <v>10500.537566666668</v>
      </c>
      <c r="AD62" s="69">
        <f t="shared" si="93"/>
        <v>1.03</v>
      </c>
      <c r="AF62" s="74"/>
      <c r="AG62" s="45">
        <f>7426-34</f>
        <v>7392</v>
      </c>
      <c r="AH62" s="58">
        <f t="shared" si="0"/>
        <v>0.70396395928009103</v>
      </c>
      <c r="AI62" s="45">
        <f>7731.5-34</f>
        <v>7697.5</v>
      </c>
      <c r="AJ62" s="58">
        <f t="shared" ref="AJ62" si="640">AI62/$AB62</f>
        <v>0.73305770786776248</v>
      </c>
      <c r="AK62" s="45"/>
      <c r="AL62" s="58">
        <f t="shared" si="516"/>
        <v>0</v>
      </c>
      <c r="AM62" s="45">
        <f>9283.5-34</f>
        <v>9249.5</v>
      </c>
      <c r="AN62" s="58">
        <f t="shared" si="517"/>
        <v>0.88085966468630972</v>
      </c>
      <c r="AO62" s="45"/>
      <c r="AP62" s="58">
        <f t="shared" si="518"/>
        <v>0</v>
      </c>
      <c r="AQ62" s="45">
        <f>6691.1-14</f>
        <v>6677.1</v>
      </c>
      <c r="AR62" s="58">
        <f t="shared" si="519"/>
        <v>0.63588173058835173</v>
      </c>
      <c r="AS62" s="45">
        <f>5736.8-14</f>
        <v>5722.8</v>
      </c>
      <c r="AT62" s="58">
        <f t="shared" si="571"/>
        <v>0.54500066912447309</v>
      </c>
      <c r="AU62" s="45">
        <f>9444-14</f>
        <v>9430</v>
      </c>
      <c r="AV62" s="58">
        <f t="shared" si="572"/>
        <v>0.8980492608240338</v>
      </c>
      <c r="AW62" s="45">
        <f>8720.5-34</f>
        <v>8686.5</v>
      </c>
      <c r="AX62" s="58">
        <f t="shared" si="573"/>
        <v>0.82724336205174653</v>
      </c>
      <c r="AY62" s="45">
        <f>8802.8-34</f>
        <v>8768.7999999999993</v>
      </c>
      <c r="AZ62" s="58">
        <f t="shared" si="574"/>
        <v>0.83508105602479188</v>
      </c>
      <c r="BA62" s="45">
        <f t="shared" si="31"/>
        <v>63624.2</v>
      </c>
      <c r="BB62" s="58">
        <f t="shared" si="32"/>
        <v>0.50492811753729661</v>
      </c>
      <c r="BC62" s="45">
        <f t="shared" si="33"/>
        <v>7069.3555555555549</v>
      </c>
      <c r="BD62" s="45">
        <f>AY62*BA1</f>
        <v>9119.5519999999997</v>
      </c>
      <c r="BE62" s="45">
        <f t="shared" si="34"/>
        <v>109434.624</v>
      </c>
      <c r="BF62" s="130">
        <v>109434.62</v>
      </c>
      <c r="BG62" s="130">
        <f t="shared" si="35"/>
        <v>9119.5516666666663</v>
      </c>
      <c r="BH62" s="45">
        <f>7207-32</f>
        <v>7175</v>
      </c>
      <c r="BI62" s="58">
        <f t="shared" si="36"/>
        <v>0.78677113330315396</v>
      </c>
      <c r="BJ62" s="45">
        <f>8930-36</f>
        <v>8894</v>
      </c>
      <c r="BK62" s="58">
        <f t="shared" si="36"/>
        <v>0.97526724175585389</v>
      </c>
      <c r="BL62" s="45">
        <f>7731.5-36</f>
        <v>7695.5</v>
      </c>
      <c r="BM62" s="58">
        <f t="shared" ref="BM62" si="641">BL62/$BG62</f>
        <v>0.84384630750305534</v>
      </c>
      <c r="BN62" s="45">
        <f>8060.5-34</f>
        <v>8026.5</v>
      </c>
      <c r="BO62" s="58">
        <f t="shared" ref="BO62" si="642">BN62/$BG62</f>
        <v>0.88014195142268514</v>
      </c>
      <c r="BP62" s="45">
        <f>7825.5-34</f>
        <v>7791.5</v>
      </c>
      <c r="BQ62" s="58">
        <f t="shared" ref="BQ62" si="643">BP62/$BG62</f>
        <v>0.85437314078488147</v>
      </c>
      <c r="BR62" s="45">
        <f>7332-735</f>
        <v>6597</v>
      </c>
      <c r="BS62" s="58">
        <f t="shared" ref="BS62" si="644">BR62/$BG62</f>
        <v>0.72339082458549231</v>
      </c>
      <c r="BT62" s="45">
        <f>7332-30</f>
        <v>7302</v>
      </c>
      <c r="BU62" s="58">
        <f t="shared" ref="BU62" si="645">BT62/$BG62</f>
        <v>0.80069725649890322</v>
      </c>
      <c r="BV62" s="45">
        <f>8436.5-30</f>
        <v>8406.5</v>
      </c>
      <c r="BW62" s="58">
        <f t="shared" ref="BW62" si="646">BV62/$BG62</f>
        <v>0.92181066649658039</v>
      </c>
      <c r="BX62" s="45">
        <f>7329.91-32</f>
        <v>7297.91</v>
      </c>
      <c r="BY62" s="58">
        <f t="shared" ref="BY62" si="647">BX62/$BG62</f>
        <v>0.80024876953929203</v>
      </c>
      <c r="BZ62" s="45">
        <v>7417</v>
      </c>
      <c r="CA62" s="58">
        <f t="shared" ref="CA62" si="648">BZ62/$BG62</f>
        <v>0.8133075255344242</v>
      </c>
      <c r="CB62" s="45">
        <f>7802-30.25</f>
        <v>7771.75</v>
      </c>
      <c r="CC62" s="58">
        <f t="shared" ref="CC62" si="649">CB62/$BG62</f>
        <v>0.85220746414617243</v>
      </c>
      <c r="CD62" s="45">
        <f>7003.94-30</f>
        <v>6973.94</v>
      </c>
      <c r="CE62" s="58">
        <f t="shared" ref="CE62" si="650">CD62/$BG62</f>
        <v>0.76472399684852932</v>
      </c>
      <c r="CF62" s="45">
        <f t="shared" si="556"/>
        <v>91348.6</v>
      </c>
      <c r="CG62" s="58">
        <f t="shared" si="106"/>
        <v>0.83473218986825204</v>
      </c>
    </row>
    <row r="63" spans="1:85" ht="15.75" x14ac:dyDescent="0.25">
      <c r="A63" s="44" t="s">
        <v>42</v>
      </c>
      <c r="B63" s="25">
        <v>2500</v>
      </c>
      <c r="C63" s="26"/>
      <c r="D63" s="26">
        <v>0</v>
      </c>
      <c r="E63" s="45">
        <v>2000</v>
      </c>
      <c r="F63" s="45">
        <f t="shared" si="290"/>
        <v>166.66666666666666</v>
      </c>
      <c r="G63" s="45"/>
      <c r="H63" s="58">
        <f t="shared" si="11"/>
        <v>0</v>
      </c>
      <c r="I63" s="45"/>
      <c r="J63" s="58">
        <f t="shared" si="12"/>
        <v>0</v>
      </c>
      <c r="K63" s="45"/>
      <c r="L63" s="58">
        <f t="shared" si="13"/>
        <v>0</v>
      </c>
      <c r="M63" s="45">
        <v>211.53</v>
      </c>
      <c r="N63" s="58">
        <f t="shared" si="14"/>
        <v>1.26918</v>
      </c>
      <c r="O63" s="64"/>
      <c r="P63" s="58">
        <f t="shared" si="15"/>
        <v>0</v>
      </c>
      <c r="Q63" s="64"/>
      <c r="R63" s="58">
        <f t="shared" si="511"/>
        <v>0</v>
      </c>
      <c r="S63" s="64"/>
      <c r="T63" s="58">
        <f t="shared" si="512"/>
        <v>0</v>
      </c>
      <c r="U63" s="64"/>
      <c r="V63" s="58">
        <f t="shared" si="513"/>
        <v>0</v>
      </c>
      <c r="W63" s="64"/>
      <c r="X63" s="58">
        <f t="shared" si="569"/>
        <v>0</v>
      </c>
      <c r="Y63" s="45">
        <f t="shared" si="20"/>
        <v>211.53</v>
      </c>
      <c r="Z63" s="58">
        <f t="shared" si="21"/>
        <v>0.105765</v>
      </c>
      <c r="AA63" s="45">
        <f t="shared" si="51"/>
        <v>23.503333333333334</v>
      </c>
      <c r="AB63" s="68">
        <v>200</v>
      </c>
      <c r="AD63" s="69"/>
      <c r="AG63" s="45"/>
      <c r="AH63" s="58">
        <f t="shared" si="0"/>
        <v>0</v>
      </c>
      <c r="AI63" s="45"/>
      <c r="AJ63" s="58">
        <f t="shared" ref="AJ63" si="651">AI63/$AB63</f>
        <v>0</v>
      </c>
      <c r="AK63" s="45"/>
      <c r="AL63" s="58">
        <f t="shared" si="516"/>
        <v>0</v>
      </c>
      <c r="AM63" s="45"/>
      <c r="AN63" s="58">
        <f t="shared" si="517"/>
        <v>0</v>
      </c>
      <c r="AO63" s="45"/>
      <c r="AP63" s="58">
        <f t="shared" si="518"/>
        <v>0</v>
      </c>
      <c r="AQ63" s="45"/>
      <c r="AR63" s="58">
        <f t="shared" si="519"/>
        <v>0</v>
      </c>
      <c r="AS63" s="45"/>
      <c r="AT63" s="58">
        <f t="shared" si="571"/>
        <v>0</v>
      </c>
      <c r="AU63" s="45"/>
      <c r="AV63" s="58">
        <f t="shared" si="572"/>
        <v>0</v>
      </c>
      <c r="AW63" s="45"/>
      <c r="AX63" s="58">
        <f t="shared" si="573"/>
        <v>0</v>
      </c>
      <c r="AY63" s="45"/>
      <c r="AZ63" s="58">
        <f t="shared" si="574"/>
        <v>0</v>
      </c>
      <c r="BA63" s="45">
        <f t="shared" si="31"/>
        <v>0</v>
      </c>
      <c r="BB63" s="58">
        <f t="shared" si="32"/>
        <v>0</v>
      </c>
      <c r="BC63" s="45">
        <f t="shared" si="33"/>
        <v>0</v>
      </c>
      <c r="BD63" s="45">
        <f>AB63*BA1</f>
        <v>208</v>
      </c>
      <c r="BE63" s="45">
        <f t="shared" si="34"/>
        <v>2496</v>
      </c>
      <c r="BF63" s="130">
        <v>4000</v>
      </c>
      <c r="BG63" s="130">
        <f t="shared" si="35"/>
        <v>333.33333333333331</v>
      </c>
      <c r="BH63" s="45"/>
      <c r="BI63" s="58">
        <f t="shared" si="36"/>
        <v>0</v>
      </c>
      <c r="BJ63" s="45"/>
      <c r="BK63" s="58">
        <f t="shared" si="36"/>
        <v>0</v>
      </c>
      <c r="BL63" s="45"/>
      <c r="BM63" s="58">
        <f t="shared" ref="BM63" si="652">BL63/$BG63</f>
        <v>0</v>
      </c>
      <c r="BN63" s="45"/>
      <c r="BO63" s="58">
        <f t="shared" ref="BO63" si="653">BN63/$BG63</f>
        <v>0</v>
      </c>
      <c r="BP63" s="45"/>
      <c r="BQ63" s="58">
        <f t="shared" ref="BQ63" si="654">BP63/$BG63</f>
        <v>0</v>
      </c>
      <c r="BR63" s="45">
        <v>1800</v>
      </c>
      <c r="BS63" s="58">
        <f t="shared" ref="BS63" si="655">BR63/$BG63</f>
        <v>5.4</v>
      </c>
      <c r="BT63" s="45"/>
      <c r="BU63" s="58">
        <f t="shared" ref="BU63" si="656">BT63/$BG63</f>
        <v>0</v>
      </c>
      <c r="BV63" s="45"/>
      <c r="BW63" s="58">
        <f t="shared" ref="BW63" si="657">BV63/$BG63</f>
        <v>0</v>
      </c>
      <c r="BX63" s="45"/>
      <c r="BY63" s="58">
        <f t="shared" ref="BY63" si="658">BX63/$BG63</f>
        <v>0</v>
      </c>
      <c r="BZ63" s="45"/>
      <c r="CA63" s="58">
        <f t="shared" ref="CA63" si="659">BZ63/$BG63</f>
        <v>0</v>
      </c>
      <c r="CB63" s="45"/>
      <c r="CC63" s="58">
        <f t="shared" ref="CC63" si="660">CB63/$BG63</f>
        <v>0</v>
      </c>
      <c r="CD63" s="45"/>
      <c r="CE63" s="58">
        <f t="shared" ref="CE63" si="661">CD63/$BG63</f>
        <v>0</v>
      </c>
      <c r="CF63" s="45">
        <f t="shared" si="556"/>
        <v>1800</v>
      </c>
      <c r="CG63" s="58">
        <f t="shared" si="106"/>
        <v>0.45</v>
      </c>
    </row>
    <row r="64" spans="1:85" ht="15.75" x14ac:dyDescent="0.25">
      <c r="A64" s="44" t="s">
        <v>43</v>
      </c>
      <c r="B64" s="25">
        <v>7270.8644249999998</v>
      </c>
      <c r="C64" s="26">
        <v>6360.18</v>
      </c>
      <c r="D64" s="26">
        <v>8480.2400000000016</v>
      </c>
      <c r="E64" s="45">
        <v>8904.2520000000022</v>
      </c>
      <c r="F64" s="45">
        <f t="shared" si="290"/>
        <v>742.02100000000019</v>
      </c>
      <c r="G64" s="45">
        <f>647.43-215.84</f>
        <v>431.58999999999992</v>
      </c>
      <c r="H64" s="58">
        <f t="shared" si="11"/>
        <v>0.58164122039672705</v>
      </c>
      <c r="I64" s="45">
        <v>445.69</v>
      </c>
      <c r="J64" s="58">
        <f t="shared" si="12"/>
        <v>0.60064337801760315</v>
      </c>
      <c r="K64" s="45">
        <f>469.14+199.3+375.5</f>
        <v>1043.94</v>
      </c>
      <c r="L64" s="58">
        <f t="shared" si="13"/>
        <v>1.4068874061515777</v>
      </c>
      <c r="M64" s="45">
        <v>431.62</v>
      </c>
      <c r="N64" s="58">
        <f t="shared" si="14"/>
        <v>0.58168165051932474</v>
      </c>
      <c r="O64" s="64">
        <f>619.25-187.63</f>
        <v>431.62</v>
      </c>
      <c r="P64" s="58">
        <f t="shared" si="15"/>
        <v>0.58168165051932474</v>
      </c>
      <c r="Q64" s="64">
        <f>619.25-187.63</f>
        <v>431.62</v>
      </c>
      <c r="R64" s="58">
        <f t="shared" si="511"/>
        <v>0.58168165051932474</v>
      </c>
      <c r="S64" s="64">
        <f>619.25-187.63</f>
        <v>431.62</v>
      </c>
      <c r="T64" s="58">
        <f t="shared" si="512"/>
        <v>0.58168165051932474</v>
      </c>
      <c r="U64" s="64">
        <f>619.25-187.63+105.9</f>
        <v>537.52</v>
      </c>
      <c r="V64" s="58">
        <f t="shared" si="513"/>
        <v>0.72439998328888244</v>
      </c>
      <c r="W64" s="64">
        <f>619.25-187.63+3168.5</f>
        <v>3600.12</v>
      </c>
      <c r="X64" s="58">
        <f t="shared" si="569"/>
        <v>4.8517764322034003</v>
      </c>
      <c r="Y64" s="45">
        <f t="shared" si="20"/>
        <v>7785.3399999999992</v>
      </c>
      <c r="Z64" s="58">
        <f t="shared" si="21"/>
        <v>0.8743395851779574</v>
      </c>
      <c r="AA64" s="45">
        <f t="shared" si="51"/>
        <v>865.03777777777771</v>
      </c>
      <c r="AB64" s="68">
        <f>AA64*AC7</f>
        <v>899.63928888888881</v>
      </c>
      <c r="AD64" s="69">
        <f t="shared" si="93"/>
        <v>1.04</v>
      </c>
      <c r="AG64" s="45">
        <v>491.18</v>
      </c>
      <c r="AH64" s="58">
        <f t="shared" si="0"/>
        <v>0.54597437669339477</v>
      </c>
      <c r="AI64" s="45"/>
      <c r="AJ64" s="58">
        <f t="shared" ref="AJ64" si="662">AI64/$AB64</f>
        <v>0</v>
      </c>
      <c r="AK64" s="45"/>
      <c r="AL64" s="58">
        <f t="shared" si="516"/>
        <v>0</v>
      </c>
      <c r="AM64" s="45">
        <f>491.18</f>
        <v>491.18</v>
      </c>
      <c r="AN64" s="58">
        <f t="shared" si="517"/>
        <v>0.54597437669339477</v>
      </c>
      <c r="AO64" s="45">
        <f>664.54-173.36</f>
        <v>491.17999999999995</v>
      </c>
      <c r="AP64" s="58">
        <f t="shared" si="518"/>
        <v>0.54597437669339477</v>
      </c>
      <c r="AQ64" s="45">
        <f>664.54-173.36</f>
        <v>491.17999999999995</v>
      </c>
      <c r="AR64" s="58">
        <f t="shared" si="519"/>
        <v>0.54597437669339477</v>
      </c>
      <c r="AS64" s="45">
        <f>664.54-173.36</f>
        <v>491.17999999999995</v>
      </c>
      <c r="AT64" s="58">
        <f t="shared" si="571"/>
        <v>0.54597437669339477</v>
      </c>
      <c r="AU64" s="45">
        <f>664.54-173.36</f>
        <v>491.17999999999995</v>
      </c>
      <c r="AV64" s="58">
        <f t="shared" si="572"/>
        <v>0.54597437669339477</v>
      </c>
      <c r="AW64" s="45">
        <f>604.06-157.56</f>
        <v>446.49999999999994</v>
      </c>
      <c r="AX64" s="58">
        <f t="shared" si="573"/>
        <v>0.49631002726821277</v>
      </c>
      <c r="AY64" s="45">
        <f>604.06-157.56</f>
        <v>446.49999999999994</v>
      </c>
      <c r="AZ64" s="58">
        <f t="shared" si="574"/>
        <v>0.49631002726821277</v>
      </c>
      <c r="BA64" s="45">
        <f t="shared" si="31"/>
        <v>3840.0799999999995</v>
      </c>
      <c r="BB64" s="58">
        <f t="shared" si="32"/>
        <v>0.35570552622473278</v>
      </c>
      <c r="BC64" s="45">
        <f t="shared" si="33"/>
        <v>426.67555555555549</v>
      </c>
      <c r="BD64" s="45">
        <f>AB64*BA1</f>
        <v>935.62486044444438</v>
      </c>
      <c r="BE64" s="45">
        <f t="shared" si="34"/>
        <v>11227.498325333332</v>
      </c>
      <c r="BF64" s="130">
        <v>11227.5</v>
      </c>
      <c r="BG64" s="130">
        <f t="shared" si="35"/>
        <v>935.625</v>
      </c>
      <c r="BH64" s="45">
        <f>743.87-194.04</f>
        <v>549.83000000000004</v>
      </c>
      <c r="BI64" s="58">
        <f t="shared" si="36"/>
        <v>0.58766065464261863</v>
      </c>
      <c r="BJ64" s="45">
        <f>743.87-194.04</f>
        <v>549.83000000000004</v>
      </c>
      <c r="BK64" s="58">
        <f t="shared" si="36"/>
        <v>0.58766065464261863</v>
      </c>
      <c r="BL64" s="45">
        <f>781.11-203.76</f>
        <v>577.35</v>
      </c>
      <c r="BM64" s="58">
        <f t="shared" ref="BM64" si="663">BL64/$BG64</f>
        <v>0.61707414829659324</v>
      </c>
      <c r="BN64" s="45">
        <f>762.49-190.62</f>
        <v>571.87</v>
      </c>
      <c r="BO64" s="58">
        <f t="shared" ref="BO64" si="664">BN64/$BG64</f>
        <v>0.61121710086840353</v>
      </c>
      <c r="BP64" s="45">
        <f>743.87-194.04</f>
        <v>549.83000000000004</v>
      </c>
      <c r="BQ64" s="58">
        <f t="shared" ref="BQ64" si="665">BP64/$BG64</f>
        <v>0.58766065464261863</v>
      </c>
      <c r="BR64" s="45">
        <f>743.87-194.07+112</f>
        <v>661.8</v>
      </c>
      <c r="BS64" s="58">
        <f t="shared" ref="BS64" si="666">BR64/$BG64</f>
        <v>0.70733466933867728</v>
      </c>
      <c r="BT64" s="45">
        <f>743.87-212.57+2399.91</f>
        <v>2931.21</v>
      </c>
      <c r="BU64" s="58">
        <f t="shared" ref="BU64" si="667">BT64/$BG64</f>
        <v>3.1328897795591182</v>
      </c>
      <c r="BV64" s="45">
        <f>2149.94-560.88+287.6</f>
        <v>1876.6599999999999</v>
      </c>
      <c r="BW64" s="58">
        <f t="shared" ref="BW64" si="668">BV64/$BG64</f>
        <v>2.0057822311289244</v>
      </c>
      <c r="BX64" s="45">
        <f>1943.12-530+253.7</f>
        <v>1666.82</v>
      </c>
      <c r="BY64" s="58">
        <f t="shared" ref="BY64" si="669">BX64/$BG64</f>
        <v>1.781504342017368</v>
      </c>
      <c r="BZ64" s="45">
        <v>1619.78</v>
      </c>
      <c r="CA64" s="58">
        <f t="shared" ref="CA64" si="670">BZ64/$BG64</f>
        <v>1.7312277889111556</v>
      </c>
      <c r="CB64" s="45">
        <f>1943.12-530+2800</f>
        <v>4213.12</v>
      </c>
      <c r="CC64" s="58">
        <f t="shared" ref="CC64" si="671">CB64/$BG64</f>
        <v>4.503000668002672</v>
      </c>
      <c r="CD64" s="45">
        <f>1943.12-530+4240.2-800</f>
        <v>4853.32</v>
      </c>
      <c r="CE64" s="58">
        <f t="shared" ref="CE64" si="672">CD64/$BG64</f>
        <v>5.1872491649966594</v>
      </c>
      <c r="CF64" s="45">
        <f t="shared" si="556"/>
        <v>20621.420000000002</v>
      </c>
      <c r="CG64" s="58">
        <f t="shared" si="106"/>
        <v>1.8366884880872858</v>
      </c>
    </row>
    <row r="65" spans="1:85" ht="15.75" x14ac:dyDescent="0.25">
      <c r="A65" s="44" t="s">
        <v>44</v>
      </c>
      <c r="B65" s="25">
        <v>28507.03</v>
      </c>
      <c r="C65" s="26">
        <v>21889.79</v>
      </c>
      <c r="D65" s="26">
        <v>29618.74</v>
      </c>
      <c r="E65" s="45">
        <v>34461.403989999999</v>
      </c>
      <c r="F65" s="45">
        <f t="shared" si="290"/>
        <v>2871.7836658333331</v>
      </c>
      <c r="G65" s="45">
        <v>2851.63</v>
      </c>
      <c r="H65" s="58">
        <f t="shared" si="11"/>
        <v>0.99298217826324853</v>
      </c>
      <c r="I65" s="45">
        <f>2851.63</f>
        <v>2851.63</v>
      </c>
      <c r="J65" s="58">
        <f t="shared" si="12"/>
        <v>0.99298217826324853</v>
      </c>
      <c r="K65" s="45">
        <v>2851.63</v>
      </c>
      <c r="L65" s="58">
        <f t="shared" si="13"/>
        <v>0.99298217826324853</v>
      </c>
      <c r="M65" s="45">
        <v>2851.63</v>
      </c>
      <c r="N65" s="58">
        <f t="shared" si="14"/>
        <v>0.99298217826324853</v>
      </c>
      <c r="O65" s="64">
        <v>2851.63</v>
      </c>
      <c r="P65" s="58">
        <f t="shared" si="15"/>
        <v>0.99298217826324853</v>
      </c>
      <c r="Q65" s="64">
        <f>2851.63</f>
        <v>2851.63</v>
      </c>
      <c r="R65" s="58">
        <f t="shared" si="511"/>
        <v>0.99298217826324853</v>
      </c>
      <c r="S65" s="64">
        <v>2851.63</v>
      </c>
      <c r="T65" s="58">
        <f t="shared" si="512"/>
        <v>0.99298217826324853</v>
      </c>
      <c r="U65" s="64">
        <v>2851.63</v>
      </c>
      <c r="V65" s="58">
        <f t="shared" si="513"/>
        <v>0.99298217826324853</v>
      </c>
      <c r="W65" s="64">
        <v>2851.63</v>
      </c>
      <c r="X65" s="58">
        <f t="shared" si="569"/>
        <v>0.99298217826324853</v>
      </c>
      <c r="Y65" s="45">
        <f t="shared" si="20"/>
        <v>25664.670000000006</v>
      </c>
      <c r="Z65" s="58">
        <f t="shared" si="21"/>
        <v>0.74473663369743648</v>
      </c>
      <c r="AA65" s="45">
        <f t="shared" si="51"/>
        <v>2851.6300000000006</v>
      </c>
      <c r="AB65" s="68">
        <f>AA65*AC9</f>
        <v>3136.793000000001</v>
      </c>
      <c r="AD65" s="69">
        <f t="shared" si="93"/>
        <v>1.1000000000000001</v>
      </c>
      <c r="AG65" s="45">
        <v>2868.17</v>
      </c>
      <c r="AH65" s="58">
        <f t="shared" si="0"/>
        <v>0.91436381042676362</v>
      </c>
      <c r="AI65" s="45">
        <v>2868.17</v>
      </c>
      <c r="AJ65" s="58">
        <f t="shared" ref="AJ65" si="673">AI65/$AB65</f>
        <v>0.91436381042676362</v>
      </c>
      <c r="AK65" s="45"/>
      <c r="AL65" s="58">
        <f t="shared" si="516"/>
        <v>0</v>
      </c>
      <c r="AM65" s="45">
        <v>2868.17</v>
      </c>
      <c r="AN65" s="58">
        <f t="shared" si="517"/>
        <v>0.91436381042676362</v>
      </c>
      <c r="AO65" s="45">
        <v>2868.17</v>
      </c>
      <c r="AP65" s="58">
        <f t="shared" si="518"/>
        <v>0.91436381042676362</v>
      </c>
      <c r="AQ65" s="45">
        <v>2868.17</v>
      </c>
      <c r="AR65" s="58">
        <f t="shared" si="519"/>
        <v>0.91436381042676362</v>
      </c>
      <c r="AS65" s="45">
        <v>2868.17</v>
      </c>
      <c r="AT65" s="58">
        <f t="shared" si="571"/>
        <v>0.91436381042676362</v>
      </c>
      <c r="AU65" s="45">
        <v>2868.17</v>
      </c>
      <c r="AV65" s="58">
        <f t="shared" si="572"/>
        <v>0.91436381042676362</v>
      </c>
      <c r="AW65" s="45">
        <v>2868.17</v>
      </c>
      <c r="AX65" s="58">
        <f t="shared" si="573"/>
        <v>0.91436381042676362</v>
      </c>
      <c r="AY65" s="45">
        <v>2868.17</v>
      </c>
      <c r="AZ65" s="58">
        <f t="shared" si="574"/>
        <v>0.91436381042676362</v>
      </c>
      <c r="BA65" s="45">
        <f t="shared" si="31"/>
        <v>25813.53</v>
      </c>
      <c r="BB65" s="58">
        <f t="shared" si="32"/>
        <v>0.68577285782007269</v>
      </c>
      <c r="BC65" s="45">
        <f t="shared" si="33"/>
        <v>2868.17</v>
      </c>
      <c r="BD65" s="45">
        <f>AB65*1.1</f>
        <v>3450.4723000000013</v>
      </c>
      <c r="BE65" s="45">
        <f t="shared" si="34"/>
        <v>41405.667600000015</v>
      </c>
      <c r="BF65" s="130">
        <v>41405.67</v>
      </c>
      <c r="BG65" s="130">
        <f t="shared" si="35"/>
        <v>3450.4724999999999</v>
      </c>
      <c r="BH65" s="45">
        <v>2897.92</v>
      </c>
      <c r="BI65" s="58">
        <f t="shared" si="36"/>
        <v>0.83986178704510761</v>
      </c>
      <c r="BJ65" s="45">
        <v>2897.92</v>
      </c>
      <c r="BK65" s="58">
        <f t="shared" si="36"/>
        <v>0.83986178704510761</v>
      </c>
      <c r="BL65" s="45">
        <v>2897.92</v>
      </c>
      <c r="BM65" s="58">
        <f t="shared" ref="BM65" si="674">BL65/$BG65</f>
        <v>0.83986178704510761</v>
      </c>
      <c r="BN65" s="45">
        <v>2897.92</v>
      </c>
      <c r="BO65" s="58">
        <f t="shared" ref="BO65" si="675">BN65/$BG65</f>
        <v>0.83986178704510761</v>
      </c>
      <c r="BP65" s="45">
        <v>2897.92</v>
      </c>
      <c r="BQ65" s="58">
        <f t="shared" ref="BQ65" si="676">BP65/$BG65</f>
        <v>0.83986178704510761</v>
      </c>
      <c r="BR65" s="45">
        <v>2897.92</v>
      </c>
      <c r="BS65" s="58">
        <f t="shared" ref="BS65" si="677">BR65/$BG65</f>
        <v>0.83986178704510761</v>
      </c>
      <c r="BT65" s="45">
        <v>2897.92</v>
      </c>
      <c r="BU65" s="58">
        <f t="shared" ref="BU65" si="678">BT65/$BG65</f>
        <v>0.83986178704510761</v>
      </c>
      <c r="BV65" s="45">
        <v>2897.92</v>
      </c>
      <c r="BW65" s="58">
        <f t="shared" ref="BW65" si="679">BV65/$BG65</f>
        <v>0.83986178704510761</v>
      </c>
      <c r="BX65" s="45">
        <v>2897.92</v>
      </c>
      <c r="BY65" s="58">
        <f t="shared" ref="BY65" si="680">BX65/$BG65</f>
        <v>0.83986178704510761</v>
      </c>
      <c r="BZ65" s="45">
        <v>2897.92</v>
      </c>
      <c r="CA65" s="58">
        <f t="shared" ref="CA65" si="681">BZ65/$BG65</f>
        <v>0.83986178704510761</v>
      </c>
      <c r="CB65" s="45">
        <v>2897.92</v>
      </c>
      <c r="CC65" s="58">
        <f t="shared" ref="CC65" si="682">CB65/$BG65</f>
        <v>0.83986178704510761</v>
      </c>
      <c r="CD65" s="45">
        <v>2897.92</v>
      </c>
      <c r="CE65" s="58">
        <f t="shared" ref="CE65" si="683">CD65/$BG65</f>
        <v>0.83986178704510761</v>
      </c>
      <c r="CF65" s="45">
        <f t="shared" si="556"/>
        <v>34775.039999999994</v>
      </c>
      <c r="CG65" s="58">
        <f t="shared" si="106"/>
        <v>0.8398617870451075</v>
      </c>
    </row>
    <row r="66" spans="1:85" ht="15.75" x14ac:dyDescent="0.25">
      <c r="A66" s="41" t="s">
        <v>45</v>
      </c>
      <c r="B66" s="42">
        <v>41380.432499999995</v>
      </c>
      <c r="C66" s="42">
        <v>27965.89</v>
      </c>
      <c r="D66" s="43">
        <v>39341.25</v>
      </c>
      <c r="E66" s="43">
        <v>41308.3125</v>
      </c>
      <c r="F66" s="43">
        <f t="shared" si="290"/>
        <v>3442.359375</v>
      </c>
      <c r="G66" s="43">
        <f>G67</f>
        <v>3146.31</v>
      </c>
      <c r="H66" s="60">
        <f t="shared" si="11"/>
        <v>0.91399812083826948</v>
      </c>
      <c r="I66" s="43">
        <f>I67</f>
        <v>3146.31</v>
      </c>
      <c r="J66" s="60">
        <f t="shared" si="12"/>
        <v>0.91399812083826948</v>
      </c>
      <c r="K66" s="43">
        <f>K67</f>
        <v>3146.31</v>
      </c>
      <c r="L66" s="60">
        <f t="shared" si="13"/>
        <v>0.91399812083826948</v>
      </c>
      <c r="M66" s="43">
        <f>M67</f>
        <v>3216.11</v>
      </c>
      <c r="N66" s="60">
        <f t="shared" si="14"/>
        <v>0.93427491137528318</v>
      </c>
      <c r="O66" s="66">
        <f>O67</f>
        <v>3216.11</v>
      </c>
      <c r="P66" s="60">
        <f t="shared" si="15"/>
        <v>0.93427491137528318</v>
      </c>
      <c r="Q66" s="66">
        <f>Q67</f>
        <v>3216.11</v>
      </c>
      <c r="R66" s="60">
        <f t="shared" si="511"/>
        <v>0.93427491137528318</v>
      </c>
      <c r="S66" s="66">
        <f>S67</f>
        <v>3216.11</v>
      </c>
      <c r="T66" s="60">
        <f t="shared" si="512"/>
        <v>0.93427491137528318</v>
      </c>
      <c r="U66" s="66">
        <f>U67</f>
        <v>3403.02</v>
      </c>
      <c r="V66" s="60">
        <f t="shared" si="513"/>
        <v>0.98857197325598811</v>
      </c>
      <c r="W66" s="66">
        <f>W67</f>
        <v>3403.02</v>
      </c>
      <c r="X66" s="60">
        <f t="shared" si="569"/>
        <v>0.98857197325598811</v>
      </c>
      <c r="Y66" s="43">
        <f t="shared" si="20"/>
        <v>29109.410000000003</v>
      </c>
      <c r="Z66" s="60">
        <f t="shared" si="21"/>
        <v>0.70468649621065982</v>
      </c>
      <c r="AA66" s="43">
        <f t="shared" si="51"/>
        <v>3234.3788888888894</v>
      </c>
      <c r="AB66" s="43">
        <f>AB67</f>
        <v>3363.7540444444448</v>
      </c>
      <c r="AD66" s="69">
        <f t="shared" si="93"/>
        <v>1.04</v>
      </c>
      <c r="AF66" s="74"/>
      <c r="AG66" s="43">
        <f>AG67</f>
        <v>3453.29</v>
      </c>
      <c r="AH66" s="60">
        <f t="shared" si="0"/>
        <v>1.0266178663399699</v>
      </c>
      <c r="AI66" s="43">
        <f>AI67</f>
        <v>3403.29</v>
      </c>
      <c r="AJ66" s="60">
        <f t="shared" ref="AJ66" si="684">AI66/$AB66</f>
        <v>1.0117535215218403</v>
      </c>
      <c r="AK66" s="43">
        <f>AK67</f>
        <v>0</v>
      </c>
      <c r="AL66" s="60">
        <f t="shared" si="516"/>
        <v>0</v>
      </c>
      <c r="AM66" s="43">
        <f>AM67</f>
        <v>3403.29</v>
      </c>
      <c r="AN66" s="60">
        <f t="shared" si="517"/>
        <v>1.0117535215218403</v>
      </c>
      <c r="AO66" s="43">
        <f>AO67</f>
        <v>3503.11</v>
      </c>
      <c r="AP66" s="60">
        <f t="shared" si="518"/>
        <v>1.0414286995167541</v>
      </c>
      <c r="AQ66" s="43">
        <f>AQ67</f>
        <v>3503.11</v>
      </c>
      <c r="AR66" s="60">
        <f t="shared" si="519"/>
        <v>1.0414286995167541</v>
      </c>
      <c r="AS66" s="43">
        <f>AS67</f>
        <v>3503.11</v>
      </c>
      <c r="AT66" s="60">
        <f t="shared" si="571"/>
        <v>1.0414286995167541</v>
      </c>
      <c r="AU66" s="43">
        <f>AU67</f>
        <v>3503.11</v>
      </c>
      <c r="AV66" s="60">
        <f t="shared" si="572"/>
        <v>1.0414286995167541</v>
      </c>
      <c r="AW66" s="43">
        <f>AW67</f>
        <v>3503.11</v>
      </c>
      <c r="AX66" s="60">
        <f t="shared" si="573"/>
        <v>1.0414286995167541</v>
      </c>
      <c r="AY66" s="43">
        <f>AY67</f>
        <v>288.32999999999993</v>
      </c>
      <c r="AZ66" s="60">
        <f t="shared" si="574"/>
        <v>8.5716730828225673E-2</v>
      </c>
      <c r="BA66" s="43">
        <f t="shared" si="31"/>
        <v>28063.75</v>
      </c>
      <c r="BB66" s="60">
        <f t="shared" si="32"/>
        <v>0.69524876148297066</v>
      </c>
      <c r="BC66" s="43">
        <f t="shared" si="33"/>
        <v>3118.1944444444443</v>
      </c>
      <c r="BD66" s="43">
        <f>BD67</f>
        <v>3498.3042062222225</v>
      </c>
      <c r="BE66" s="43">
        <f t="shared" si="34"/>
        <v>41979.650474666669</v>
      </c>
      <c r="BF66" s="136">
        <f>BF67</f>
        <v>41979.65</v>
      </c>
      <c r="BG66" s="136">
        <f t="shared" si="35"/>
        <v>3498.3041666666668</v>
      </c>
      <c r="BH66" s="43">
        <f>BH67</f>
        <v>3503.75</v>
      </c>
      <c r="BI66" s="60">
        <f t="shared" si="36"/>
        <v>1.0015567066423849</v>
      </c>
      <c r="BJ66" s="43">
        <f>BJ67</f>
        <v>3503.96</v>
      </c>
      <c r="BK66" s="60">
        <f t="shared" si="36"/>
        <v>1.0016167357279062</v>
      </c>
      <c r="BL66" s="43">
        <f>BL67</f>
        <v>3503.75</v>
      </c>
      <c r="BM66" s="60">
        <f t="shared" ref="BM66" si="685">BL66/$BG66</f>
        <v>1.0015567066423849</v>
      </c>
      <c r="BN66" s="43">
        <f>BN67</f>
        <v>3546.14</v>
      </c>
      <c r="BO66" s="60">
        <f t="shared" ref="BO66" si="686">BN66/$BG66</f>
        <v>1.0136740063340213</v>
      </c>
      <c r="BP66" s="43">
        <f>BP67</f>
        <v>3546.14</v>
      </c>
      <c r="BQ66" s="60">
        <f t="shared" ref="BQ66" si="687">BP66/$BG66</f>
        <v>1.0136740063340213</v>
      </c>
      <c r="BR66" s="43">
        <f>BR67</f>
        <v>3546.14</v>
      </c>
      <c r="BS66" s="60">
        <f t="shared" ref="BS66" si="688">BR66/$BG66</f>
        <v>1.0136740063340213</v>
      </c>
      <c r="BT66" s="43">
        <f>BT67</f>
        <v>3546.14</v>
      </c>
      <c r="BU66" s="60">
        <f t="shared" ref="BU66" si="689">BT66/$BG66</f>
        <v>1.0136740063340213</v>
      </c>
      <c r="BV66" s="43">
        <f>BV67</f>
        <v>3546.14</v>
      </c>
      <c r="BW66" s="60">
        <f t="shared" ref="BW66" si="690">BV66/$BG66</f>
        <v>1.0136740063340213</v>
      </c>
      <c r="BX66" s="43">
        <f>BX67</f>
        <v>3554.01</v>
      </c>
      <c r="BY66" s="60">
        <f t="shared" ref="BY66" si="691">BX66/$BG66</f>
        <v>1.0159236677771253</v>
      </c>
      <c r="BZ66" s="43">
        <v>4214.62</v>
      </c>
      <c r="CA66" s="60">
        <f t="shared" ref="CA66" si="692">BZ66/$BG66</f>
        <v>1.2047608781874073</v>
      </c>
      <c r="CB66" s="43">
        <f>CB67</f>
        <v>3558.11</v>
      </c>
      <c r="CC66" s="60">
        <f t="shared" ref="CC66" si="693">CB66/$BG66</f>
        <v>1.0170956642087297</v>
      </c>
      <c r="CD66" s="43">
        <f>CD67</f>
        <v>3550.24</v>
      </c>
      <c r="CE66" s="60">
        <f t="shared" ref="CE66" si="694">CD66/$BG66</f>
        <v>1.0148460027656256</v>
      </c>
      <c r="CF66" s="43">
        <f>CF67</f>
        <v>43119.14</v>
      </c>
      <c r="CG66" s="60">
        <f t="shared" si="106"/>
        <v>1.0271438661351393</v>
      </c>
    </row>
    <row r="67" spans="1:85" ht="15.75" x14ac:dyDescent="0.25">
      <c r="A67" s="44" t="s">
        <v>45</v>
      </c>
      <c r="B67" s="25">
        <v>41380.432499999995</v>
      </c>
      <c r="C67" s="26">
        <v>27965.89</v>
      </c>
      <c r="D67" s="26">
        <v>39341.25</v>
      </c>
      <c r="E67" s="25">
        <v>41308.3125</v>
      </c>
      <c r="F67" s="25">
        <f t="shared" si="290"/>
        <v>3442.359375</v>
      </c>
      <c r="G67" s="25">
        <v>3146.31</v>
      </c>
      <c r="H67" s="58">
        <f t="shared" si="11"/>
        <v>0.91399812083826948</v>
      </c>
      <c r="I67" s="25">
        <v>3146.31</v>
      </c>
      <c r="J67" s="58">
        <f t="shared" si="12"/>
        <v>0.91399812083826948</v>
      </c>
      <c r="K67" s="25">
        <v>3146.31</v>
      </c>
      <c r="L67" s="58">
        <f t="shared" si="13"/>
        <v>0.91399812083826948</v>
      </c>
      <c r="M67" s="25">
        <v>3216.11</v>
      </c>
      <c r="N67" s="58">
        <f t="shared" si="14"/>
        <v>0.93427491137528318</v>
      </c>
      <c r="O67" s="64">
        <v>3216.11</v>
      </c>
      <c r="P67" s="58">
        <f t="shared" si="15"/>
        <v>0.93427491137528318</v>
      </c>
      <c r="Q67" s="64">
        <v>3216.11</v>
      </c>
      <c r="R67" s="58">
        <f t="shared" si="511"/>
        <v>0.93427491137528318</v>
      </c>
      <c r="S67" s="64">
        <v>3216.11</v>
      </c>
      <c r="T67" s="58">
        <f t="shared" si="512"/>
        <v>0.93427491137528318</v>
      </c>
      <c r="U67" s="64">
        <v>3403.02</v>
      </c>
      <c r="V67" s="58">
        <f t="shared" si="513"/>
        <v>0.98857197325598811</v>
      </c>
      <c r="W67" s="64">
        <v>3403.02</v>
      </c>
      <c r="X67" s="58">
        <f t="shared" si="569"/>
        <v>0.98857197325598811</v>
      </c>
      <c r="Y67" s="25">
        <f t="shared" si="20"/>
        <v>29109.410000000003</v>
      </c>
      <c r="Z67" s="58">
        <f t="shared" si="21"/>
        <v>0.70468649621065982</v>
      </c>
      <c r="AA67" s="25">
        <f t="shared" si="51"/>
        <v>3234.3788888888894</v>
      </c>
      <c r="AB67" s="25">
        <f>AA67*AC7</f>
        <v>3363.7540444444448</v>
      </c>
      <c r="AD67" s="69">
        <f t="shared" si="93"/>
        <v>1.04</v>
      </c>
      <c r="AF67" s="74"/>
      <c r="AG67" s="25">
        <v>3453.29</v>
      </c>
      <c r="AH67" s="58">
        <f t="shared" si="0"/>
        <v>1.0266178663399699</v>
      </c>
      <c r="AI67" s="25">
        <v>3403.29</v>
      </c>
      <c r="AJ67" s="58">
        <f t="shared" ref="AJ67" si="695">AI67/$AB67</f>
        <v>1.0117535215218403</v>
      </c>
      <c r="AK67" s="25"/>
      <c r="AL67" s="58">
        <f t="shared" si="516"/>
        <v>0</v>
      </c>
      <c r="AM67" s="25">
        <v>3403.29</v>
      </c>
      <c r="AN67" s="58">
        <f t="shared" si="517"/>
        <v>1.0117535215218403</v>
      </c>
      <c r="AO67" s="25">
        <v>3503.11</v>
      </c>
      <c r="AP67" s="58">
        <f t="shared" si="518"/>
        <v>1.0414286995167541</v>
      </c>
      <c r="AQ67" s="25">
        <v>3503.11</v>
      </c>
      <c r="AR67" s="58">
        <f t="shared" si="519"/>
        <v>1.0414286995167541</v>
      </c>
      <c r="AS67" s="25">
        <v>3503.11</v>
      </c>
      <c r="AT67" s="58">
        <f t="shared" si="571"/>
        <v>1.0414286995167541</v>
      </c>
      <c r="AU67" s="25">
        <v>3503.11</v>
      </c>
      <c r="AV67" s="58">
        <f t="shared" si="572"/>
        <v>1.0414286995167541</v>
      </c>
      <c r="AW67" s="25">
        <v>3503.11</v>
      </c>
      <c r="AX67" s="58">
        <f t="shared" si="573"/>
        <v>1.0414286995167541</v>
      </c>
      <c r="AY67" s="25">
        <f>1896.08-1607.75</f>
        <v>288.32999999999993</v>
      </c>
      <c r="AZ67" s="58">
        <f t="shared" si="574"/>
        <v>8.5716730828225673E-2</v>
      </c>
      <c r="BA67" s="25">
        <f t="shared" si="31"/>
        <v>28063.75</v>
      </c>
      <c r="BB67" s="58">
        <f t="shared" si="32"/>
        <v>0.69524876148297066</v>
      </c>
      <c r="BC67" s="25">
        <f t="shared" si="33"/>
        <v>3118.1944444444443</v>
      </c>
      <c r="BD67" s="25">
        <f>AB67*BA1</f>
        <v>3498.3042062222225</v>
      </c>
      <c r="BE67" s="25">
        <f t="shared" si="34"/>
        <v>41979.650474666669</v>
      </c>
      <c r="BF67" s="129">
        <v>41979.65</v>
      </c>
      <c r="BG67" s="129">
        <f t="shared" si="35"/>
        <v>3498.3041666666668</v>
      </c>
      <c r="BH67" s="25">
        <v>3503.75</v>
      </c>
      <c r="BI67" s="58">
        <f t="shared" si="36"/>
        <v>1.0015567066423849</v>
      </c>
      <c r="BJ67" s="25">
        <v>3503.96</v>
      </c>
      <c r="BK67" s="58">
        <f t="shared" si="36"/>
        <v>1.0016167357279062</v>
      </c>
      <c r="BL67" s="25">
        <v>3503.75</v>
      </c>
      <c r="BM67" s="58">
        <f t="shared" ref="BM67" si="696">BL67/$BG67</f>
        <v>1.0015567066423849</v>
      </c>
      <c r="BN67" s="25">
        <v>3546.14</v>
      </c>
      <c r="BO67" s="58">
        <f t="shared" ref="BO67" si="697">BN67/$BG67</f>
        <v>1.0136740063340213</v>
      </c>
      <c r="BP67" s="25">
        <v>3546.14</v>
      </c>
      <c r="BQ67" s="58">
        <f t="shared" ref="BQ67" si="698">BP67/$BG67</f>
        <v>1.0136740063340213</v>
      </c>
      <c r="BR67" s="25">
        <v>3546.14</v>
      </c>
      <c r="BS67" s="58">
        <f t="shared" ref="BS67" si="699">BR67/$BG67</f>
        <v>1.0136740063340213</v>
      </c>
      <c r="BT67" s="25">
        <v>3546.14</v>
      </c>
      <c r="BU67" s="58">
        <f t="shared" ref="BU67" si="700">BT67/$BG67</f>
        <v>1.0136740063340213</v>
      </c>
      <c r="BV67" s="25">
        <v>3546.14</v>
      </c>
      <c r="BW67" s="58">
        <f t="shared" ref="BW67" si="701">BV67/$BG67</f>
        <v>1.0136740063340213</v>
      </c>
      <c r="BX67" s="25">
        <v>3554.01</v>
      </c>
      <c r="BY67" s="58">
        <f t="shared" ref="BY67" si="702">BX67/$BG67</f>
        <v>1.0159236677771253</v>
      </c>
      <c r="BZ67" s="25">
        <v>4214.62</v>
      </c>
      <c r="CA67" s="58">
        <f t="shared" ref="CA67" si="703">BZ67/$BG67</f>
        <v>1.2047608781874073</v>
      </c>
      <c r="CB67" s="25">
        <v>3558.11</v>
      </c>
      <c r="CC67" s="58">
        <f t="shared" ref="CC67" si="704">CB67/$BG67</f>
        <v>1.0170956642087297</v>
      </c>
      <c r="CD67" s="25">
        <v>3550.24</v>
      </c>
      <c r="CE67" s="58">
        <f t="shared" ref="CE67" si="705">CD67/$BG67</f>
        <v>1.0148460027656256</v>
      </c>
      <c r="CF67" s="25">
        <f>BH67+BJ67+BL67+BN67+BP67+BR67+BT67+BV67+BX67+BZ67+CB67+CD67</f>
        <v>43119.14</v>
      </c>
      <c r="CG67" s="58">
        <f t="shared" si="106"/>
        <v>1.0271438661351393</v>
      </c>
    </row>
    <row r="68" spans="1:85" ht="15.75" x14ac:dyDescent="0.25">
      <c r="A68" s="41" t="s">
        <v>46</v>
      </c>
      <c r="B68" s="42">
        <v>290866.60434999998</v>
      </c>
      <c r="C68" s="42">
        <v>177442.63999999998</v>
      </c>
      <c r="D68" s="43">
        <v>236590.18666666668</v>
      </c>
      <c r="E68" s="43">
        <v>268547.30800000002</v>
      </c>
      <c r="F68" s="43">
        <f t="shared" si="290"/>
        <v>22378.942333333336</v>
      </c>
      <c r="G68" s="43">
        <f>SUM(G69:G75)</f>
        <v>26598.01</v>
      </c>
      <c r="H68" s="60">
        <f t="shared" si="11"/>
        <v>1.1885284659044131</v>
      </c>
      <c r="I68" s="43">
        <f>SUM(I69:I75)</f>
        <v>19801.510000000002</v>
      </c>
      <c r="J68" s="60">
        <f t="shared" si="12"/>
        <v>0.88482778609718926</v>
      </c>
      <c r="K68" s="43">
        <f>SUM(K69:K75)</f>
        <v>23314.03</v>
      </c>
      <c r="L68" s="60">
        <f t="shared" si="13"/>
        <v>1.0417842654375069</v>
      </c>
      <c r="M68" s="43">
        <f>SUM(M69:M75)</f>
        <v>18602.420000000002</v>
      </c>
      <c r="N68" s="60">
        <f t="shared" si="14"/>
        <v>0.83124661223563634</v>
      </c>
      <c r="O68" s="66">
        <f>SUM(O69:O75)</f>
        <v>23189.759999999998</v>
      </c>
      <c r="P68" s="60">
        <f t="shared" si="15"/>
        <v>1.036231277358401</v>
      </c>
      <c r="Q68" s="66">
        <f>SUM(Q69:Q75)</f>
        <v>21544.229999999996</v>
      </c>
      <c r="R68" s="60">
        <f t="shared" si="511"/>
        <v>0.96270099270553822</v>
      </c>
      <c r="S68" s="66">
        <f>SUM(S69:S75)</f>
        <v>22212.68</v>
      </c>
      <c r="T68" s="60">
        <f t="shared" si="512"/>
        <v>0.99257059020677274</v>
      </c>
      <c r="U68" s="66">
        <f>SUM(U69:U75)</f>
        <v>21238.52</v>
      </c>
      <c r="V68" s="60">
        <f t="shared" si="513"/>
        <v>0.94904038285872516</v>
      </c>
      <c r="W68" s="66">
        <f>SUM(W69:W75)</f>
        <v>24059.649999999998</v>
      </c>
      <c r="X68" s="60">
        <f t="shared" si="569"/>
        <v>1.0751021939121428</v>
      </c>
      <c r="Y68" s="43">
        <f t="shared" si="20"/>
        <v>200560.80999999997</v>
      </c>
      <c r="Z68" s="60">
        <f t="shared" si="21"/>
        <v>0.74683604722636043</v>
      </c>
      <c r="AA68" s="43">
        <f t="shared" si="51"/>
        <v>22284.534444444442</v>
      </c>
      <c r="AB68" s="43">
        <f>SUM(AB69:AB75)</f>
        <v>23175.915822222225</v>
      </c>
      <c r="AD68" s="69">
        <f t="shared" si="93"/>
        <v>1.0400000000000003</v>
      </c>
      <c r="AF68" s="74"/>
      <c r="AG68" s="43">
        <f>SUM(AG69:AG75)</f>
        <v>18456.030000000002</v>
      </c>
      <c r="AH68" s="60">
        <f t="shared" si="0"/>
        <v>0.79634522931358942</v>
      </c>
      <c r="AI68" s="43">
        <f>SUM(AI69:AI75)</f>
        <v>22199.190000000002</v>
      </c>
      <c r="AJ68" s="60">
        <f t="shared" ref="AJ68" si="706">AI68/$AB68</f>
        <v>0.95785599888632278</v>
      </c>
      <c r="AK68" s="43">
        <f>SUM(AK69:AK75)</f>
        <v>0</v>
      </c>
      <c r="AL68" s="60">
        <f t="shared" si="516"/>
        <v>0</v>
      </c>
      <c r="AM68" s="43">
        <f>SUM(AM69:AM75)</f>
        <v>19090.829999999994</v>
      </c>
      <c r="AN68" s="60">
        <f t="shared" si="517"/>
        <v>0.82373573266497424</v>
      </c>
      <c r="AO68" s="43">
        <f>SUM(AO69:AO75)</f>
        <v>14960.82</v>
      </c>
      <c r="AP68" s="60">
        <f t="shared" si="518"/>
        <v>0.64553306608297301</v>
      </c>
      <c r="AQ68" s="43">
        <f>SUM(AQ69:AQ75)</f>
        <v>11984.91</v>
      </c>
      <c r="AR68" s="60">
        <f t="shared" si="519"/>
        <v>0.51712778437468565</v>
      </c>
      <c r="AS68" s="43">
        <f>SUM(AS69:AS75)</f>
        <v>12420.22</v>
      </c>
      <c r="AT68" s="60">
        <f t="shared" si="571"/>
        <v>0.53591064514011022</v>
      </c>
      <c r="AU68" s="43">
        <f>SUM(AU69:AU75)</f>
        <v>6708.6</v>
      </c>
      <c r="AV68" s="60">
        <f t="shared" si="572"/>
        <v>0.28946428919833495</v>
      </c>
      <c r="AW68" s="43">
        <f>SUM(AW69:AW75)</f>
        <v>11263.35</v>
      </c>
      <c r="AX68" s="60">
        <f t="shared" si="573"/>
        <v>0.48599373963898068</v>
      </c>
      <c r="AY68" s="43">
        <f>SUM(AY69:AY75)</f>
        <v>13375.140000000001</v>
      </c>
      <c r="AZ68" s="60">
        <f t="shared" si="574"/>
        <v>0.57711376338255638</v>
      </c>
      <c r="BA68" s="43">
        <f t="shared" si="31"/>
        <v>130459.09000000001</v>
      </c>
      <c r="BB68" s="60">
        <f t="shared" si="32"/>
        <v>0.46909002072354394</v>
      </c>
      <c r="BC68" s="43">
        <f t="shared" si="33"/>
        <v>14495.454444444445</v>
      </c>
      <c r="BD68" s="43">
        <f>SUM(BD69:BD75)</f>
        <v>23630.51025777778</v>
      </c>
      <c r="BE68" s="43">
        <f t="shared" si="34"/>
        <v>283566.12309333333</v>
      </c>
      <c r="BF68" s="136">
        <f>SUM(BF69:BF75)</f>
        <v>250878.58000000002</v>
      </c>
      <c r="BG68" s="136">
        <f t="shared" si="35"/>
        <v>20906.548333333336</v>
      </c>
      <c r="BH68" s="43">
        <f>SUM(BH69:BH75)</f>
        <v>15811.400000000001</v>
      </c>
      <c r="BI68" s="60">
        <f t="shared" si="36"/>
        <v>0.75628935718625323</v>
      </c>
      <c r="BJ68" s="43">
        <f>SUM(BJ69:BJ75)</f>
        <v>16710.699999999997</v>
      </c>
      <c r="BK68" s="60">
        <f t="shared" si="36"/>
        <v>0.79930458790064873</v>
      </c>
      <c r="BL68" s="43">
        <f>SUM(BL69:BL75)</f>
        <v>25688.21</v>
      </c>
      <c r="BM68" s="60">
        <f t="shared" ref="BM68" si="707">BL68/$BG68</f>
        <v>1.2287159788611683</v>
      </c>
      <c r="BN68" s="43">
        <f>SUM(BN69:BN75)</f>
        <v>18777.560000000001</v>
      </c>
      <c r="BO68" s="60">
        <f t="shared" ref="BO68" si="708">BN68/$BG68</f>
        <v>0.89816643573157973</v>
      </c>
      <c r="BP68" s="43">
        <f>SUM(BP69:BP75)</f>
        <v>18337.63</v>
      </c>
      <c r="BQ68" s="60">
        <f t="shared" ref="BQ68" si="709">BP68/$BG68</f>
        <v>0.8771237464752869</v>
      </c>
      <c r="BR68" s="43">
        <f>SUM(BR69:BR75)</f>
        <v>26675.190000000002</v>
      </c>
      <c r="BS68" s="60">
        <f t="shared" ref="BS68" si="710">BR68/$BG68</f>
        <v>1.275925110864387</v>
      </c>
      <c r="BT68" s="43">
        <f>SUM(BT69:BT75)</f>
        <v>23703.460000000003</v>
      </c>
      <c r="BU68" s="60">
        <f t="shared" ref="BU68" si="711">BT68/$BG68</f>
        <v>1.1337816086172043</v>
      </c>
      <c r="BV68" s="43">
        <f>SUM(BV69:BV75)</f>
        <v>26258.020000000004</v>
      </c>
      <c r="BW68" s="60">
        <f t="shared" ref="BW68" si="712">BV68/$BG68</f>
        <v>1.2559710757291436</v>
      </c>
      <c r="BX68" s="43">
        <f>SUM(BX69:BX75)</f>
        <v>24924.450000000004</v>
      </c>
      <c r="BY68" s="60">
        <f t="shared" ref="BY68" si="713">BX68/$BG68</f>
        <v>1.1921838843316157</v>
      </c>
      <c r="BZ68" s="43">
        <v>30096.629999999997</v>
      </c>
      <c r="CA68" s="60">
        <f t="shared" ref="CA68" si="714">BZ68/$BG68</f>
        <v>1.4395790983829704</v>
      </c>
      <c r="CB68" s="43">
        <f>SUM(CB69:CB75)</f>
        <v>27941.840000000004</v>
      </c>
      <c r="CC68" s="60">
        <f t="shared" ref="CC68" si="715">CB68/$BG68</f>
        <v>1.336511391287371</v>
      </c>
      <c r="CD68" s="43">
        <f>SUM(CD69:CD75)</f>
        <v>30899.23</v>
      </c>
      <c r="CE68" s="60">
        <f t="shared" ref="CE68" si="716">CD68/$BG68</f>
        <v>1.4779689840400083</v>
      </c>
      <c r="CF68" s="43">
        <f>SUM(CF69:CF75)</f>
        <v>285824.32</v>
      </c>
      <c r="CG68" s="60">
        <f t="shared" si="106"/>
        <v>1.1392934382839699</v>
      </c>
    </row>
    <row r="69" spans="1:85" ht="15.75" x14ac:dyDescent="0.25">
      <c r="A69" s="44" t="s">
        <v>47</v>
      </c>
      <c r="B69" s="25">
        <v>66627.622050000005</v>
      </c>
      <c r="C69" s="26">
        <v>50432.37</v>
      </c>
      <c r="D69" s="26">
        <v>67243.16</v>
      </c>
      <c r="E69" s="25">
        <v>70605.318000000014</v>
      </c>
      <c r="F69" s="25">
        <f t="shared" si="290"/>
        <v>5883.7765000000009</v>
      </c>
      <c r="G69" s="25">
        <v>11521.12</v>
      </c>
      <c r="H69" s="58">
        <f t="shared" si="11"/>
        <v>1.9581165260101228</v>
      </c>
      <c r="I69" s="25">
        <v>5515.71</v>
      </c>
      <c r="J69" s="58">
        <f t="shared" si="12"/>
        <v>0.93744383390497565</v>
      </c>
      <c r="K69" s="25">
        <v>7383.14</v>
      </c>
      <c r="L69" s="58">
        <f t="shared" si="13"/>
        <v>1.254830124835639</v>
      </c>
      <c r="M69" s="25">
        <v>5937.09</v>
      </c>
      <c r="N69" s="58">
        <f t="shared" si="14"/>
        <v>1.0090611021679696</v>
      </c>
      <c r="O69" s="64">
        <v>5778.46</v>
      </c>
      <c r="P69" s="58">
        <f t="shared" si="15"/>
        <v>0.98210052676202086</v>
      </c>
      <c r="Q69" s="64">
        <v>5929.94</v>
      </c>
      <c r="R69" s="58">
        <f t="shared" si="511"/>
        <v>1.0078458962538768</v>
      </c>
      <c r="S69" s="64">
        <v>6135.16</v>
      </c>
      <c r="T69" s="58">
        <f t="shared" si="512"/>
        <v>1.0427248553713757</v>
      </c>
      <c r="U69" s="64">
        <v>5971.06</v>
      </c>
      <c r="V69" s="58">
        <f t="shared" si="513"/>
        <v>1.0148346049514287</v>
      </c>
      <c r="W69" s="64">
        <v>5724.71</v>
      </c>
      <c r="X69" s="58">
        <f t="shared" si="569"/>
        <v>0.97296523754768716</v>
      </c>
      <c r="Y69" s="25">
        <f t="shared" si="20"/>
        <v>59896.390000000007</v>
      </c>
      <c r="Z69" s="58">
        <f t="shared" si="21"/>
        <v>0.84832689231709135</v>
      </c>
      <c r="AA69" s="25">
        <f t="shared" si="51"/>
        <v>6655.1544444444453</v>
      </c>
      <c r="AB69" s="25">
        <f>AA69*$AC$7</f>
        <v>6921.3606222222234</v>
      </c>
      <c r="AD69" s="69">
        <f t="shared" si="93"/>
        <v>1.04</v>
      </c>
      <c r="AG69" s="25"/>
      <c r="AH69" s="58">
        <f t="shared" si="0"/>
        <v>0</v>
      </c>
      <c r="AI69" s="25">
        <v>5929.94</v>
      </c>
      <c r="AJ69" s="58">
        <f t="shared" ref="AJ69" si="717">AI69/$AB69</f>
        <v>0.85675928818979652</v>
      </c>
      <c r="AK69" s="25"/>
      <c r="AL69" s="58">
        <f t="shared" si="516"/>
        <v>0</v>
      </c>
      <c r="AM69" s="25">
        <v>5929.94</v>
      </c>
      <c r="AN69" s="58">
        <f t="shared" si="517"/>
        <v>0.85675928818979652</v>
      </c>
      <c r="AO69" s="25">
        <v>5981.35</v>
      </c>
      <c r="AP69" s="58">
        <f t="shared" si="518"/>
        <v>0.86418701848822088</v>
      </c>
      <c r="AQ69" s="25">
        <v>5929.94</v>
      </c>
      <c r="AR69" s="58">
        <f t="shared" si="519"/>
        <v>0.85675928818979652</v>
      </c>
      <c r="AS69" s="25">
        <v>5929.94</v>
      </c>
      <c r="AT69" s="58">
        <f t="shared" si="571"/>
        <v>0.85675928818979652</v>
      </c>
      <c r="AU69" s="25"/>
      <c r="AV69" s="58">
        <f t="shared" si="572"/>
        <v>0</v>
      </c>
      <c r="AW69" s="25"/>
      <c r="AX69" s="58">
        <f t="shared" si="573"/>
        <v>0</v>
      </c>
      <c r="AY69" s="25">
        <v>109.27</v>
      </c>
      <c r="AZ69" s="58">
        <f t="shared" si="574"/>
        <v>1.5787358290387268E-2</v>
      </c>
      <c r="BA69" s="25">
        <f t="shared" si="31"/>
        <v>29810.379999999997</v>
      </c>
      <c r="BB69" s="58">
        <f t="shared" si="32"/>
        <v>0.35891762746148281</v>
      </c>
      <c r="BC69" s="25">
        <f t="shared" si="33"/>
        <v>3312.2644444444441</v>
      </c>
      <c r="BD69" s="25">
        <f>AB69*BA1</f>
        <v>7198.2150471111127</v>
      </c>
      <c r="BE69" s="25">
        <f t="shared" si="34"/>
        <v>86378.580565333352</v>
      </c>
      <c r="BF69" s="129">
        <v>86378.58</v>
      </c>
      <c r="BG69" s="129">
        <f t="shared" si="35"/>
        <v>7198.2150000000001</v>
      </c>
      <c r="BH69" s="25">
        <v>6342.78</v>
      </c>
      <c r="BI69" s="58">
        <f t="shared" si="36"/>
        <v>0.8811601209466513</v>
      </c>
      <c r="BJ69" s="25">
        <v>6130.63</v>
      </c>
      <c r="BK69" s="58">
        <f t="shared" si="36"/>
        <v>0.85168753642396067</v>
      </c>
      <c r="BL69" s="25">
        <v>6130.63</v>
      </c>
      <c r="BM69" s="58">
        <f t="shared" ref="BM69" si="718">BL69/$BG69</f>
        <v>0.85168753642396067</v>
      </c>
      <c r="BN69" s="25">
        <v>6342.78</v>
      </c>
      <c r="BO69" s="58">
        <f t="shared" ref="BO69" si="719">BN69/$BG69</f>
        <v>0.8811601209466513</v>
      </c>
      <c r="BP69" s="25">
        <v>6645.28</v>
      </c>
      <c r="BQ69" s="58">
        <f t="shared" ref="BQ69" si="720">BP69/$BG69</f>
        <v>0.92318442836175352</v>
      </c>
      <c r="BR69" s="25">
        <v>6796.39</v>
      </c>
      <c r="BS69" s="58">
        <f t="shared" ref="BS69" si="721">BR69/$BG69</f>
        <v>0.94417713280306304</v>
      </c>
      <c r="BT69" s="25">
        <v>6569.05</v>
      </c>
      <c r="BU69" s="58">
        <f t="shared" ref="BU69" si="722">BT69/$BG69</f>
        <v>0.9125943028931478</v>
      </c>
      <c r="BV69" s="25">
        <v>6569.05</v>
      </c>
      <c r="BW69" s="58">
        <f t="shared" ref="BW69" si="723">BV69/$BG69</f>
        <v>0.9125943028931478</v>
      </c>
      <c r="BX69" s="25">
        <v>6796.39</v>
      </c>
      <c r="BY69" s="58">
        <f t="shared" ref="BY69" si="724">BX69/$BG69</f>
        <v>0.94417713280306304</v>
      </c>
      <c r="BZ69" s="71">
        <v>6769.39</v>
      </c>
      <c r="CA69" s="58">
        <f t="shared" ref="CA69" si="725">BZ69/$BG69</f>
        <v>0.94042620288502088</v>
      </c>
      <c r="CB69" s="25">
        <v>7013.69</v>
      </c>
      <c r="CC69" s="58">
        <f t="shared" ref="CC69" si="726">CB69/$BG69</f>
        <v>0.97436517247678756</v>
      </c>
      <c r="CD69" s="25">
        <f>6350.14-437.84</f>
        <v>5912.3</v>
      </c>
      <c r="CE69" s="58">
        <f t="shared" ref="CE69" si="727">CD69/$BG69</f>
        <v>0.82135640572002921</v>
      </c>
      <c r="CF69" s="25">
        <f t="shared" ref="CF69:CF75" si="728">BH69+BJ69+BL69+BN69+BP69+BR69+BT69+BV69+BX69+BZ69+CB69+CD69</f>
        <v>78018.36</v>
      </c>
      <c r="CG69" s="58">
        <f t="shared" si="106"/>
        <v>0.90321419963143634</v>
      </c>
    </row>
    <row r="70" spans="1:85" ht="15.75" x14ac:dyDescent="0.25">
      <c r="A70" s="44" t="s">
        <v>48</v>
      </c>
      <c r="B70" s="25">
        <v>155475.45007499997</v>
      </c>
      <c r="C70" s="26">
        <v>71337.42</v>
      </c>
      <c r="D70" s="26">
        <v>95116.56</v>
      </c>
      <c r="E70" s="25">
        <v>120000</v>
      </c>
      <c r="F70" s="25">
        <f t="shared" si="290"/>
        <v>10000</v>
      </c>
      <c r="G70" s="25">
        <v>9443.3700000000008</v>
      </c>
      <c r="H70" s="58">
        <f t="shared" si="11"/>
        <v>0.94433700000000009</v>
      </c>
      <c r="I70" s="25">
        <v>9231.35</v>
      </c>
      <c r="J70" s="58">
        <f t="shared" si="12"/>
        <v>0.92313500000000004</v>
      </c>
      <c r="K70" s="25">
        <v>9714.9699999999993</v>
      </c>
      <c r="L70" s="58">
        <f t="shared" si="13"/>
        <v>0.97149699999999994</v>
      </c>
      <c r="M70" s="25">
        <v>8635.93</v>
      </c>
      <c r="N70" s="58">
        <f t="shared" si="14"/>
        <v>0.86359300000000006</v>
      </c>
      <c r="O70" s="64">
        <v>9515.65</v>
      </c>
      <c r="P70" s="58">
        <f t="shared" si="15"/>
        <v>0.95156499999999999</v>
      </c>
      <c r="Q70" s="64">
        <v>9252.48</v>
      </c>
      <c r="R70" s="58">
        <f t="shared" si="511"/>
        <v>0.92524799999999996</v>
      </c>
      <c r="S70" s="64">
        <v>10202.14</v>
      </c>
      <c r="T70" s="58">
        <f t="shared" si="512"/>
        <v>1.020214</v>
      </c>
      <c r="U70" s="64">
        <v>10226.98</v>
      </c>
      <c r="V70" s="58">
        <f t="shared" si="513"/>
        <v>1.0226979999999999</v>
      </c>
      <c r="W70" s="64">
        <v>10553.95</v>
      </c>
      <c r="X70" s="58">
        <f t="shared" si="569"/>
        <v>1.0553950000000001</v>
      </c>
      <c r="Y70" s="25">
        <f t="shared" si="20"/>
        <v>86776.819999999992</v>
      </c>
      <c r="Z70" s="58">
        <f t="shared" si="21"/>
        <v>0.72314016666666658</v>
      </c>
      <c r="AA70" s="25">
        <f t="shared" si="51"/>
        <v>9641.8688888888883</v>
      </c>
      <c r="AB70" s="25">
        <f t="shared" ref="AB70:AB75" si="729">AA70*$AC$7</f>
        <v>10027.543644444444</v>
      </c>
      <c r="AD70" s="69">
        <f t="shared" si="93"/>
        <v>1.04</v>
      </c>
      <c r="AG70" s="25">
        <v>8674.91</v>
      </c>
      <c r="AH70" s="58">
        <f t="shared" si="0"/>
        <v>0.86510817679723162</v>
      </c>
      <c r="AI70" s="25">
        <v>9377.3799999999992</v>
      </c>
      <c r="AJ70" s="58">
        <f t="shared" ref="AJ70" si="730">AI70/$AB70</f>
        <v>0.93516222242476554</v>
      </c>
      <c r="AK70" s="25"/>
      <c r="AL70" s="58">
        <f t="shared" si="516"/>
        <v>0</v>
      </c>
      <c r="AM70" s="25">
        <v>9223.89</v>
      </c>
      <c r="AN70" s="58">
        <f t="shared" si="517"/>
        <v>0.91985538303892678</v>
      </c>
      <c r="AO70" s="25">
        <v>6194.22</v>
      </c>
      <c r="AP70" s="58">
        <f t="shared" si="518"/>
        <v>0.61772057241872802</v>
      </c>
      <c r="AQ70" s="25">
        <v>5409.64</v>
      </c>
      <c r="AR70" s="58">
        <f t="shared" si="519"/>
        <v>0.53947808075580916</v>
      </c>
      <c r="AS70" s="25">
        <v>4252.79</v>
      </c>
      <c r="AT70" s="58">
        <f t="shared" si="571"/>
        <v>0.42411084417031397</v>
      </c>
      <c r="AU70" s="25">
        <v>4928.2</v>
      </c>
      <c r="AV70" s="58">
        <f t="shared" si="572"/>
        <v>0.4914663226352915</v>
      </c>
      <c r="AW70" s="25">
        <v>7202.51</v>
      </c>
      <c r="AX70" s="58">
        <f t="shared" si="573"/>
        <v>0.71827261544659582</v>
      </c>
      <c r="AY70" s="25">
        <v>7024.58</v>
      </c>
      <c r="AZ70" s="58">
        <f t="shared" si="574"/>
        <v>0.70052848923692546</v>
      </c>
      <c r="BA70" s="25">
        <f t="shared" si="31"/>
        <v>62288.12</v>
      </c>
      <c r="BB70" s="58">
        <f t="shared" si="32"/>
        <v>0.5176418922437156</v>
      </c>
      <c r="BC70" s="25">
        <f t="shared" si="33"/>
        <v>6920.9022222222229</v>
      </c>
      <c r="BD70" s="25">
        <f>AB70*BA1</f>
        <v>10428.645390222222</v>
      </c>
      <c r="BE70" s="25">
        <f t="shared" si="34"/>
        <v>125143.74468266667</v>
      </c>
      <c r="BF70" s="129">
        <v>110000</v>
      </c>
      <c r="BG70" s="129">
        <f t="shared" si="35"/>
        <v>9166.6666666666661</v>
      </c>
      <c r="BH70" s="25">
        <v>5131.3100000000004</v>
      </c>
      <c r="BI70" s="58">
        <f t="shared" si="36"/>
        <v>0.55977927272727279</v>
      </c>
      <c r="BJ70" s="25">
        <v>7502.64</v>
      </c>
      <c r="BK70" s="58">
        <f t="shared" si="36"/>
        <v>0.8184698181818183</v>
      </c>
      <c r="BL70" s="25">
        <v>7926.45</v>
      </c>
      <c r="BM70" s="58">
        <f t="shared" ref="BM70" si="731">BL70/$BG70</f>
        <v>0.86470363636363645</v>
      </c>
      <c r="BN70" s="25">
        <v>7272.19</v>
      </c>
      <c r="BO70" s="58">
        <f t="shared" ref="BO70" si="732">BN70/$BG70</f>
        <v>0.79332981818181814</v>
      </c>
      <c r="BP70" s="25">
        <v>7261.58</v>
      </c>
      <c r="BQ70" s="58">
        <f t="shared" ref="BQ70" si="733">BP70/$BG70</f>
        <v>0.79217236363636367</v>
      </c>
      <c r="BR70" s="25">
        <v>8484.0300000000007</v>
      </c>
      <c r="BS70" s="58">
        <f t="shared" ref="BS70" si="734">BR70/$BG70</f>
        <v>0.92553054545454561</v>
      </c>
      <c r="BT70" s="25">
        <v>9420.08</v>
      </c>
      <c r="BU70" s="58">
        <f t="shared" ref="BU70" si="735">BT70/$BG70</f>
        <v>1.0276450909090911</v>
      </c>
      <c r="BV70" s="25">
        <v>12336.26</v>
      </c>
      <c r="BW70" s="58">
        <f t="shared" ref="BW70" si="736">BV70/$BG70</f>
        <v>1.3457738181818184</v>
      </c>
      <c r="BX70" s="25">
        <v>10984.78</v>
      </c>
      <c r="BY70" s="58">
        <f t="shared" ref="BY70" si="737">BX70/$BG70</f>
        <v>1.1983396363636365</v>
      </c>
      <c r="BZ70" s="71">
        <v>11847.91</v>
      </c>
      <c r="CA70" s="58">
        <f t="shared" ref="CA70" si="738">BZ70/$BG70</f>
        <v>1.2924992727272728</v>
      </c>
      <c r="CB70" s="25">
        <v>12193.58</v>
      </c>
      <c r="CC70" s="58">
        <f t="shared" ref="CC70" si="739">CB70/$BG70</f>
        <v>1.3302087272727274</v>
      </c>
      <c r="CD70" s="25">
        <v>11909.1</v>
      </c>
      <c r="CE70" s="58">
        <f t="shared" ref="CE70" si="740">CD70/$BG70</f>
        <v>1.2991745454545456</v>
      </c>
      <c r="CF70" s="25">
        <f t="shared" si="728"/>
        <v>112269.91000000002</v>
      </c>
      <c r="CG70" s="58">
        <f t="shared" si="106"/>
        <v>1.0206355454545457</v>
      </c>
    </row>
    <row r="71" spans="1:85" ht="15.75" x14ac:dyDescent="0.25">
      <c r="A71" s="44" t="s">
        <v>49</v>
      </c>
      <c r="B71" s="25">
        <v>19766.127974999996</v>
      </c>
      <c r="C71" s="26">
        <v>23090.27</v>
      </c>
      <c r="D71" s="26">
        <v>30787.026666666665</v>
      </c>
      <c r="E71" s="25">
        <v>32326.378000000001</v>
      </c>
      <c r="F71" s="25">
        <f t="shared" si="290"/>
        <v>2693.8648333333335</v>
      </c>
      <c r="G71" s="25">
        <v>2255.04</v>
      </c>
      <c r="H71" s="58">
        <f t="shared" si="11"/>
        <v>0.83710213374353282</v>
      </c>
      <c r="I71" s="25">
        <v>1730.16</v>
      </c>
      <c r="J71" s="58">
        <f t="shared" si="12"/>
        <v>0.64225939571702095</v>
      </c>
      <c r="K71" s="25">
        <v>2799.36</v>
      </c>
      <c r="L71" s="58">
        <f t="shared" si="13"/>
        <v>1.0391612694747305</v>
      </c>
      <c r="M71" s="25"/>
      <c r="N71" s="58">
        <f t="shared" si="14"/>
        <v>0</v>
      </c>
      <c r="O71" s="64">
        <v>5281.46</v>
      </c>
      <c r="P71" s="58">
        <f t="shared" si="15"/>
        <v>1.9605512253800903</v>
      </c>
      <c r="Q71" s="64">
        <v>2965.92</v>
      </c>
      <c r="R71" s="58">
        <f t="shared" si="511"/>
        <v>1.1009906522778394</v>
      </c>
      <c r="S71" s="64">
        <v>3466.92</v>
      </c>
      <c r="T71" s="58">
        <f t="shared" si="512"/>
        <v>1.2869688030004474</v>
      </c>
      <c r="U71" s="64">
        <v>3055.94</v>
      </c>
      <c r="V71" s="58">
        <f t="shared" si="513"/>
        <v>1.1344073251881173</v>
      </c>
      <c r="W71" s="64">
        <v>2645.28</v>
      </c>
      <c r="X71" s="58">
        <f t="shared" si="569"/>
        <v>0.9819646358153703</v>
      </c>
      <c r="Y71" s="25">
        <f t="shared" si="20"/>
        <v>24200.079999999998</v>
      </c>
      <c r="Z71" s="58">
        <f t="shared" si="21"/>
        <v>0.74861712004976233</v>
      </c>
      <c r="AA71" s="25">
        <f t="shared" si="51"/>
        <v>2688.8977777777777</v>
      </c>
      <c r="AB71" s="25">
        <f t="shared" si="729"/>
        <v>2796.4536888888888</v>
      </c>
      <c r="AD71" s="69">
        <f t="shared" si="93"/>
        <v>1.04</v>
      </c>
      <c r="AG71" s="25">
        <v>4169.76</v>
      </c>
      <c r="AH71" s="58">
        <f t="shared" si="0"/>
        <v>1.4910885227842858</v>
      </c>
      <c r="AI71" s="25">
        <v>2739.8</v>
      </c>
      <c r="AJ71" s="58">
        <f t="shared" ref="AJ71" si="741">AI71/$AB71</f>
        <v>0.9797408807040181</v>
      </c>
      <c r="AK71" s="25"/>
      <c r="AL71" s="58">
        <f t="shared" si="516"/>
        <v>0</v>
      </c>
      <c r="AM71" s="25">
        <v>2772.33</v>
      </c>
      <c r="AN71" s="58">
        <f t="shared" si="517"/>
        <v>0.99137347098407558</v>
      </c>
      <c r="AO71" s="25"/>
      <c r="AP71" s="58">
        <f t="shared" si="518"/>
        <v>0</v>
      </c>
      <c r="AQ71" s="25"/>
      <c r="AR71" s="58">
        <f t="shared" si="519"/>
        <v>0</v>
      </c>
      <c r="AS71" s="25"/>
      <c r="AT71" s="58">
        <f t="shared" si="571"/>
        <v>0</v>
      </c>
      <c r="AU71" s="25">
        <v>80</v>
      </c>
      <c r="AV71" s="58">
        <f t="shared" si="572"/>
        <v>2.8607661309701965E-2</v>
      </c>
      <c r="AW71" s="25">
        <v>1090</v>
      </c>
      <c r="AX71" s="58">
        <f t="shared" si="573"/>
        <v>0.38977938534468926</v>
      </c>
      <c r="AY71" s="25">
        <v>4119.8900000000003</v>
      </c>
      <c r="AZ71" s="58">
        <f t="shared" si="574"/>
        <v>1.4732552219153505</v>
      </c>
      <c r="BA71" s="25">
        <f t="shared" si="31"/>
        <v>14971.779999999999</v>
      </c>
      <c r="BB71" s="58">
        <f t="shared" si="32"/>
        <v>0.44615376192017675</v>
      </c>
      <c r="BC71" s="25">
        <f t="shared" si="33"/>
        <v>1663.5311111111109</v>
      </c>
      <c r="BD71" s="25">
        <f>AB71</f>
        <v>2796.4536888888888</v>
      </c>
      <c r="BE71" s="25">
        <f t="shared" si="34"/>
        <v>33557.444266666665</v>
      </c>
      <c r="BF71" s="129">
        <v>24000</v>
      </c>
      <c r="BG71" s="129">
        <f t="shared" si="35"/>
        <v>2000</v>
      </c>
      <c r="BH71" s="25"/>
      <c r="BI71" s="58">
        <f t="shared" si="36"/>
        <v>0</v>
      </c>
      <c r="BJ71" s="25">
        <v>1065.24</v>
      </c>
      <c r="BK71" s="58">
        <f t="shared" si="36"/>
        <v>0.53261999999999998</v>
      </c>
      <c r="BL71" s="25">
        <v>3026.14</v>
      </c>
      <c r="BM71" s="58">
        <f t="shared" ref="BM71" si="742">BL71/$BG71</f>
        <v>1.5130699999999999</v>
      </c>
      <c r="BN71" s="25">
        <v>1401.86</v>
      </c>
      <c r="BO71" s="58">
        <f t="shared" ref="BO71" si="743">BN71/$BG71</f>
        <v>0.70092999999999994</v>
      </c>
      <c r="BP71" s="25">
        <v>94</v>
      </c>
      <c r="BQ71" s="58">
        <f t="shared" ref="BQ71" si="744">BP71/$BG71</f>
        <v>4.7E-2</v>
      </c>
      <c r="BR71" s="25">
        <v>3680.32</v>
      </c>
      <c r="BS71" s="58">
        <f t="shared" ref="BS71" si="745">BR71/$BG71</f>
        <v>1.84016</v>
      </c>
      <c r="BT71" s="25">
        <v>2753.89</v>
      </c>
      <c r="BU71" s="58">
        <f t="shared" ref="BU71" si="746">BT71/$BG71</f>
        <v>1.3769449999999999</v>
      </c>
      <c r="BV71" s="25">
        <v>105</v>
      </c>
      <c r="BW71" s="58">
        <f t="shared" ref="BW71" si="747">BV71/$BG71</f>
        <v>5.2499999999999998E-2</v>
      </c>
      <c r="BX71" s="25">
        <v>4017.88</v>
      </c>
      <c r="BY71" s="58">
        <f t="shared" ref="BY71" si="748">BX71/$BG71</f>
        <v>2.0089399999999999</v>
      </c>
      <c r="BZ71" s="71">
        <v>2470.98</v>
      </c>
      <c r="CA71" s="58">
        <f t="shared" ref="CA71" si="749">BZ71/$BG71</f>
        <v>1.23549</v>
      </c>
      <c r="CB71" s="25">
        <v>4299.49</v>
      </c>
      <c r="CC71" s="58">
        <f t="shared" ref="CC71" si="750">CB71/$BG71</f>
        <v>2.1497449999999998</v>
      </c>
      <c r="CD71" s="25">
        <v>9604</v>
      </c>
      <c r="CE71" s="58">
        <f t="shared" ref="CE71" si="751">CD71/$BG71</f>
        <v>4.8019999999999996</v>
      </c>
      <c r="CF71" s="25">
        <f t="shared" si="728"/>
        <v>32518.799999999996</v>
      </c>
      <c r="CG71" s="58">
        <f t="shared" si="106"/>
        <v>1.3549499999999999</v>
      </c>
    </row>
    <row r="72" spans="1:85" ht="15.75" x14ac:dyDescent="0.25">
      <c r="A72" s="44" t="s">
        <v>50</v>
      </c>
      <c r="B72" s="25">
        <v>19000</v>
      </c>
      <c r="C72" s="26">
        <v>11235.230000000001</v>
      </c>
      <c r="D72" s="26">
        <v>14980.306666666667</v>
      </c>
      <c r="E72" s="25">
        <v>15729.322000000002</v>
      </c>
      <c r="F72" s="25">
        <f t="shared" si="290"/>
        <v>1310.7768333333336</v>
      </c>
      <c r="G72" s="25">
        <v>1292.94</v>
      </c>
      <c r="H72" s="58">
        <f t="shared" si="11"/>
        <v>0.98639216617219727</v>
      </c>
      <c r="I72" s="25">
        <f>39.9+639.91+18.8</f>
        <v>698.6099999999999</v>
      </c>
      <c r="J72" s="58">
        <f t="shared" si="12"/>
        <v>0.53297402138502836</v>
      </c>
      <c r="K72" s="25">
        <v>713.32</v>
      </c>
      <c r="L72" s="58">
        <f t="shared" si="13"/>
        <v>0.54419637413487998</v>
      </c>
      <c r="M72" s="25">
        <f>2051.17</f>
        <v>2051.17</v>
      </c>
      <c r="N72" s="58">
        <f t="shared" si="14"/>
        <v>1.5648506655277319</v>
      </c>
      <c r="O72" s="64">
        <f>649.91-1301.31+66.3+9.85</f>
        <v>-575.25</v>
      </c>
      <c r="P72" s="58">
        <f t="shared" si="15"/>
        <v>-0.43886189118640961</v>
      </c>
      <c r="Q72" s="64">
        <v>760.05</v>
      </c>
      <c r="R72" s="58">
        <f t="shared" si="511"/>
        <v>0.57984698895476849</v>
      </c>
      <c r="S72" s="64">
        <v>707.01</v>
      </c>
      <c r="T72" s="58">
        <f t="shared" si="512"/>
        <v>0.53938243491995386</v>
      </c>
      <c r="U72" s="64">
        <f>41.84+86.1+6.25+663.25</f>
        <v>797.44</v>
      </c>
      <c r="V72" s="58">
        <f t="shared" si="513"/>
        <v>0.60837205824891871</v>
      </c>
      <c r="W72" s="64">
        <f>1402.76+138.25</f>
        <v>1541.01</v>
      </c>
      <c r="X72" s="58">
        <f t="shared" si="569"/>
        <v>1.1756463501732621</v>
      </c>
      <c r="Y72" s="25">
        <f t="shared" si="20"/>
        <v>7986.3000000000011</v>
      </c>
      <c r="Z72" s="58">
        <f t="shared" si="21"/>
        <v>0.50773326402752772</v>
      </c>
      <c r="AA72" s="25">
        <f t="shared" si="51"/>
        <v>887.36666666666679</v>
      </c>
      <c r="AB72" s="25">
        <f t="shared" si="729"/>
        <v>922.8613333333335</v>
      </c>
      <c r="AD72" s="69">
        <f t="shared" si="93"/>
        <v>1.04</v>
      </c>
      <c r="AG72" s="25">
        <f>786.29+52.35+52.45</f>
        <v>891.09</v>
      </c>
      <c r="AH72" s="58">
        <f t="shared" si="0"/>
        <v>0.96557301494193404</v>
      </c>
      <c r="AI72" s="25">
        <f>789.06+192.4+191.65</f>
        <v>1173.1099999999999</v>
      </c>
      <c r="AJ72" s="58">
        <f t="shared" ref="AJ72" si="752">AI72/$AB72</f>
        <v>1.2711660545607426</v>
      </c>
      <c r="AK72" s="25"/>
      <c r="AL72" s="58">
        <f t="shared" si="516"/>
        <v>0</v>
      </c>
      <c r="AM72" s="25">
        <f>48.96+699.95</f>
        <v>748.91000000000008</v>
      </c>
      <c r="AN72" s="58">
        <f t="shared" si="517"/>
        <v>0.81150869903170708</v>
      </c>
      <c r="AO72" s="25">
        <v>740.35</v>
      </c>
      <c r="AP72" s="58">
        <f t="shared" si="518"/>
        <v>0.80223319935389337</v>
      </c>
      <c r="AQ72" s="25">
        <f>455.53</f>
        <v>455.53</v>
      </c>
      <c r="AR72" s="58">
        <f t="shared" si="519"/>
        <v>0.49360611778439795</v>
      </c>
      <c r="AS72" s="25">
        <v>349.33</v>
      </c>
      <c r="AT72" s="58">
        <f t="shared" si="571"/>
        <v>0.37852924094049512</v>
      </c>
      <c r="AU72" s="25">
        <v>351.23</v>
      </c>
      <c r="AV72" s="58">
        <f t="shared" si="572"/>
        <v>0.38058805512131827</v>
      </c>
      <c r="AW72" s="25">
        <v>421.86</v>
      </c>
      <c r="AX72" s="58">
        <f t="shared" si="573"/>
        <v>0.45712176332739041</v>
      </c>
      <c r="AY72" s="25">
        <v>347.77</v>
      </c>
      <c r="AZ72" s="58">
        <f t="shared" si="574"/>
        <v>0.37683884613939822</v>
      </c>
      <c r="BA72" s="25">
        <f t="shared" si="31"/>
        <v>5479.1799999999985</v>
      </c>
      <c r="BB72" s="58">
        <f t="shared" si="32"/>
        <v>0.49476374926677291</v>
      </c>
      <c r="BC72" s="25">
        <f t="shared" si="33"/>
        <v>608.79777777777758</v>
      </c>
      <c r="BD72" s="25">
        <f>BC72</f>
        <v>608.79777777777758</v>
      </c>
      <c r="BE72" s="25">
        <f t="shared" si="34"/>
        <v>7305.573333333331</v>
      </c>
      <c r="BF72" s="129">
        <v>5000</v>
      </c>
      <c r="BG72" s="129">
        <f t="shared" ref="BG72:BG136" si="753">BF72/12</f>
        <v>416.66666666666669</v>
      </c>
      <c r="BH72" s="25">
        <f>390.38+19.65</f>
        <v>410.03</v>
      </c>
      <c r="BI72" s="58">
        <f t="shared" ref="BI72:BK136" si="754">BH72/$BG72</f>
        <v>0.98407199999999984</v>
      </c>
      <c r="BJ72" s="25">
        <v>423.46</v>
      </c>
      <c r="BK72" s="58">
        <f t="shared" si="754"/>
        <v>1.0163039999999999</v>
      </c>
      <c r="BL72" s="25">
        <f>397.77+71.7+582.22</f>
        <v>1051.69</v>
      </c>
      <c r="BM72" s="58">
        <f t="shared" ref="BM72" si="755">BL72/$BG72</f>
        <v>2.5240559999999999</v>
      </c>
      <c r="BN72" s="25">
        <f>390.56+81.95</f>
        <v>472.51</v>
      </c>
      <c r="BO72" s="58">
        <f t="shared" ref="BO72" si="756">BN72/$BG72</f>
        <v>1.1340239999999999</v>
      </c>
      <c r="BP72" s="25">
        <f>404.49+25.55+455.25</f>
        <v>885.29</v>
      </c>
      <c r="BQ72" s="58">
        <f t="shared" ref="BQ72" si="757">BP72/$BG72</f>
        <v>2.1246959999999997</v>
      </c>
      <c r="BR72" s="25">
        <v>385.61</v>
      </c>
      <c r="BS72" s="58">
        <f t="shared" ref="BS72" si="758">BR72/$BG72</f>
        <v>0.92546399999999995</v>
      </c>
      <c r="BT72" s="25">
        <v>530.15</v>
      </c>
      <c r="BU72" s="58">
        <f t="shared" ref="BU72" si="759">BT72/$BG72</f>
        <v>1.2723599999999999</v>
      </c>
      <c r="BV72" s="25">
        <f>575.03+35.1</f>
        <v>610.13</v>
      </c>
      <c r="BW72" s="58">
        <f t="shared" ref="BW72" si="760">BV72/$BG72</f>
        <v>1.4643119999999998</v>
      </c>
      <c r="BX72" s="25">
        <f>467.1+27.35+10.85</f>
        <v>505.30000000000007</v>
      </c>
      <c r="BY72" s="58">
        <f t="shared" ref="BY72" si="761">BX72/$BG72</f>
        <v>1.21272</v>
      </c>
      <c r="BZ72" s="71">
        <v>491.01</v>
      </c>
      <c r="CA72" s="58">
        <f t="shared" ref="CA72" si="762">BZ72/$BG72</f>
        <v>1.1784239999999999</v>
      </c>
      <c r="CB72" s="25">
        <v>555.57000000000005</v>
      </c>
      <c r="CC72" s="58">
        <f t="shared" ref="CC72" si="763">CB72/$BG72</f>
        <v>1.3333680000000001</v>
      </c>
      <c r="CD72" s="25">
        <f>466.05+115.96</f>
        <v>582.01</v>
      </c>
      <c r="CE72" s="58">
        <f t="shared" ref="CE72" si="764">CD72/$BG72</f>
        <v>1.3968239999999998</v>
      </c>
      <c r="CF72" s="25">
        <f t="shared" si="728"/>
        <v>6902.76</v>
      </c>
      <c r="CG72" s="58">
        <f t="shared" si="106"/>
        <v>1.380552</v>
      </c>
    </row>
    <row r="73" spans="1:85" ht="15.75" x14ac:dyDescent="0.25">
      <c r="A73" s="44" t="s">
        <v>51</v>
      </c>
      <c r="B73" s="25">
        <v>8527.8426749999999</v>
      </c>
      <c r="C73" s="26">
        <v>2853.11</v>
      </c>
      <c r="D73" s="26">
        <v>3804.146666666667</v>
      </c>
      <c r="E73" s="25">
        <v>3994.3540000000007</v>
      </c>
      <c r="F73" s="25">
        <f t="shared" si="290"/>
        <v>332.86283333333341</v>
      </c>
      <c r="G73" s="25">
        <v>1063.5999999999999</v>
      </c>
      <c r="H73" s="58">
        <f t="shared" si="11"/>
        <v>3.1953101803195199</v>
      </c>
      <c r="I73" s="25"/>
      <c r="J73" s="58">
        <f t="shared" si="12"/>
        <v>0</v>
      </c>
      <c r="K73" s="25">
        <v>1270.0999999999999</v>
      </c>
      <c r="L73" s="58">
        <f t="shared" si="13"/>
        <v>3.8156858405639547</v>
      </c>
      <c r="M73" s="25">
        <v>415</v>
      </c>
      <c r="N73" s="58">
        <f t="shared" si="14"/>
        <v>1.2467598014597601</v>
      </c>
      <c r="O73" s="64"/>
      <c r="P73" s="58">
        <f t="shared" si="15"/>
        <v>0</v>
      </c>
      <c r="Q73" s="64">
        <v>372</v>
      </c>
      <c r="R73" s="58">
        <f t="shared" si="511"/>
        <v>1.1175774605856164</v>
      </c>
      <c r="S73" s="64">
        <v>672.2</v>
      </c>
      <c r="T73" s="58">
        <f t="shared" si="512"/>
        <v>2.0194504543162672</v>
      </c>
      <c r="U73" s="64">
        <v>711.9</v>
      </c>
      <c r="V73" s="58">
        <f t="shared" si="513"/>
        <v>2.1387188015884413</v>
      </c>
      <c r="W73" s="64">
        <v>402.4</v>
      </c>
      <c r="X73" s="58">
        <f t="shared" si="569"/>
        <v>1.2089063713431505</v>
      </c>
      <c r="Y73" s="25">
        <f t="shared" si="20"/>
        <v>4907.1999999999989</v>
      </c>
      <c r="Z73" s="58">
        <f t="shared" si="21"/>
        <v>1.228534075848059</v>
      </c>
      <c r="AA73" s="25">
        <f t="shared" si="51"/>
        <v>545.2444444444443</v>
      </c>
      <c r="AB73" s="25">
        <f t="shared" si="729"/>
        <v>567.05422222222205</v>
      </c>
      <c r="AD73" s="69">
        <f t="shared" si="93"/>
        <v>1.04</v>
      </c>
      <c r="AG73" s="25">
        <v>1267.7</v>
      </c>
      <c r="AH73" s="58">
        <f t="shared" ref="AH73:AH137" si="765">AG73/$AB73</f>
        <v>2.2355886797421691</v>
      </c>
      <c r="AI73" s="25">
        <v>216.29</v>
      </c>
      <c r="AJ73" s="58">
        <f t="shared" ref="AJ73" si="766">AI73/$AB73</f>
        <v>0.38142736888966927</v>
      </c>
      <c r="AK73" s="25"/>
      <c r="AL73" s="58">
        <f t="shared" si="516"/>
        <v>0</v>
      </c>
      <c r="AM73" s="25"/>
      <c r="AN73" s="58">
        <f t="shared" si="517"/>
        <v>0</v>
      </c>
      <c r="AO73" s="25">
        <f>1180.05-500-112.2</f>
        <v>567.84999999999991</v>
      </c>
      <c r="AP73" s="58">
        <f t="shared" si="518"/>
        <v>1.0014033539414613</v>
      </c>
      <c r="AQ73" s="25"/>
      <c r="AR73" s="58">
        <f t="shared" si="519"/>
        <v>0</v>
      </c>
      <c r="AS73" s="25"/>
      <c r="AT73" s="58">
        <f t="shared" si="571"/>
        <v>0</v>
      </c>
      <c r="AU73" s="25">
        <f>375.27</f>
        <v>375.27</v>
      </c>
      <c r="AV73" s="58">
        <f t="shared" si="572"/>
        <v>0.66178856499711591</v>
      </c>
      <c r="AW73" s="25"/>
      <c r="AX73" s="58">
        <f t="shared" si="573"/>
        <v>0</v>
      </c>
      <c r="AY73" s="25">
        <v>62.9</v>
      </c>
      <c r="AZ73" s="58">
        <f t="shared" si="574"/>
        <v>0.1109241365905044</v>
      </c>
      <c r="BA73" s="25">
        <f t="shared" si="31"/>
        <v>2490.0100000000002</v>
      </c>
      <c r="BB73" s="58">
        <f t="shared" si="32"/>
        <v>0.36592767534674336</v>
      </c>
      <c r="BC73" s="25">
        <f t="shared" si="33"/>
        <v>276.66777777777781</v>
      </c>
      <c r="BD73" s="25">
        <f>AB73</f>
        <v>567.05422222222205</v>
      </c>
      <c r="BE73" s="25">
        <f t="shared" si="34"/>
        <v>6804.6506666666646</v>
      </c>
      <c r="BF73" s="129">
        <v>5000</v>
      </c>
      <c r="BG73" s="129">
        <f t="shared" si="753"/>
        <v>416.66666666666669</v>
      </c>
      <c r="BH73" s="25">
        <v>90.9</v>
      </c>
      <c r="BI73" s="58">
        <f t="shared" si="754"/>
        <v>0.21815999999999999</v>
      </c>
      <c r="BJ73" s="25">
        <v>1016.63</v>
      </c>
      <c r="BK73" s="58">
        <f t="shared" si="754"/>
        <v>2.4399120000000001</v>
      </c>
      <c r="BL73" s="25">
        <v>434.5</v>
      </c>
      <c r="BM73" s="58">
        <f t="shared" ref="BM73" si="767">BL73/$BG73</f>
        <v>1.0427999999999999</v>
      </c>
      <c r="BN73" s="25">
        <v>685.94</v>
      </c>
      <c r="BO73" s="58">
        <f t="shared" ref="BO73" si="768">BN73/$BG73</f>
        <v>1.6462560000000002</v>
      </c>
      <c r="BP73" s="25"/>
      <c r="BQ73" s="58">
        <f t="shared" ref="BQ73" si="769">BP73/$BG73</f>
        <v>0</v>
      </c>
      <c r="BR73" s="25">
        <v>3841.36</v>
      </c>
      <c r="BS73" s="58">
        <f t="shared" ref="BS73" si="770">BR73/$BG73</f>
        <v>9.219263999999999</v>
      </c>
      <c r="BT73" s="25">
        <f>739.3-48</f>
        <v>691.3</v>
      </c>
      <c r="BU73" s="58">
        <f t="shared" ref="BU73" si="771">BT73/$BG73</f>
        <v>1.6591199999999997</v>
      </c>
      <c r="BV73" s="25">
        <v>1076.79</v>
      </c>
      <c r="BW73" s="58">
        <f t="shared" ref="BW73" si="772">BV73/$BG73</f>
        <v>2.5842959999999997</v>
      </c>
      <c r="BX73" s="25"/>
      <c r="BY73" s="58">
        <f t="shared" ref="BY73" si="773">BX73/$BG73</f>
        <v>0</v>
      </c>
      <c r="BZ73" s="71">
        <v>1313.8</v>
      </c>
      <c r="CA73" s="58">
        <f t="shared" ref="CA73" si="774">BZ73/$BG73</f>
        <v>3.1531199999999999</v>
      </c>
      <c r="CB73" s="25">
        <v>1433.5</v>
      </c>
      <c r="CC73" s="58">
        <f t="shared" ref="CC73" si="775">CB73/$BG73</f>
        <v>3.4403999999999999</v>
      </c>
      <c r="CD73" s="25">
        <v>1154.3499999999999</v>
      </c>
      <c r="CE73" s="58">
        <f t="shared" ref="CE73" si="776">CD73/$BG73</f>
        <v>2.7704399999999998</v>
      </c>
      <c r="CF73" s="25">
        <f t="shared" si="728"/>
        <v>11739.07</v>
      </c>
      <c r="CG73" s="58">
        <f t="shared" si="106"/>
        <v>2.3478140000000001</v>
      </c>
    </row>
    <row r="74" spans="1:85" ht="15.75" x14ac:dyDescent="0.25">
      <c r="A74" s="44" t="s">
        <v>52</v>
      </c>
      <c r="B74" s="25">
        <v>21011.726175</v>
      </c>
      <c r="C74" s="26">
        <v>18179.72</v>
      </c>
      <c r="D74" s="26">
        <v>24239.626666666671</v>
      </c>
      <c r="E74" s="25">
        <v>25451.608000000004</v>
      </c>
      <c r="F74" s="25">
        <f t="shared" si="290"/>
        <v>2120.9673333333335</v>
      </c>
      <c r="G74" s="25">
        <v>1021.94</v>
      </c>
      <c r="H74" s="58">
        <f t="shared" si="11"/>
        <v>0.48182731715811433</v>
      </c>
      <c r="I74" s="25">
        <f>1589.2+940.9</f>
        <v>2530.1</v>
      </c>
      <c r="J74" s="58">
        <f t="shared" si="12"/>
        <v>1.1928990891263136</v>
      </c>
      <c r="K74" s="25">
        <v>1306.44</v>
      </c>
      <c r="L74" s="58">
        <f t="shared" si="13"/>
        <v>0.61596422512872273</v>
      </c>
      <c r="M74" s="25">
        <v>1563.23</v>
      </c>
      <c r="N74" s="58">
        <f t="shared" si="14"/>
        <v>0.73703633970788796</v>
      </c>
      <c r="O74" s="64">
        <v>3189.44</v>
      </c>
      <c r="P74" s="58">
        <f t="shared" si="15"/>
        <v>1.50376667753173</v>
      </c>
      <c r="Q74" s="64">
        <v>2263.84</v>
      </c>
      <c r="R74" s="58">
        <f t="shared" si="511"/>
        <v>1.0673620307212024</v>
      </c>
      <c r="S74" s="64">
        <v>1029.25</v>
      </c>
      <c r="T74" s="58">
        <f t="shared" si="512"/>
        <v>0.48527385774604098</v>
      </c>
      <c r="U74" s="64">
        <v>475.2</v>
      </c>
      <c r="V74" s="58">
        <f t="shared" si="513"/>
        <v>0.22404871236426396</v>
      </c>
      <c r="W74" s="64">
        <f>2393.3+799</f>
        <v>3192.3</v>
      </c>
      <c r="X74" s="58">
        <f t="shared" si="569"/>
        <v>1.5051151188561445</v>
      </c>
      <c r="Y74" s="25">
        <f t="shared" si="20"/>
        <v>16571.740000000002</v>
      </c>
      <c r="Z74" s="58">
        <f t="shared" si="21"/>
        <v>0.65110778069503505</v>
      </c>
      <c r="AA74" s="25">
        <f t="shared" si="51"/>
        <v>1841.3044444444447</v>
      </c>
      <c r="AB74" s="25">
        <f t="shared" si="729"/>
        <v>1914.9566222222224</v>
      </c>
      <c r="AD74" s="69">
        <f t="shared" si="93"/>
        <v>1.04</v>
      </c>
      <c r="AG74" s="25">
        <v>3279.3</v>
      </c>
      <c r="AH74" s="58">
        <f t="shared" si="765"/>
        <v>1.7124669885182662</v>
      </c>
      <c r="AI74" s="25">
        <v>2762.67</v>
      </c>
      <c r="AJ74" s="58">
        <f t="shared" ref="AJ74" si="777">AI74/$AB74</f>
        <v>1.4426801985697428</v>
      </c>
      <c r="AK74" s="25"/>
      <c r="AL74" s="58">
        <f t="shared" si="516"/>
        <v>0</v>
      </c>
      <c r="AM74" s="25">
        <v>373.5</v>
      </c>
      <c r="AN74" s="58">
        <f t="shared" si="517"/>
        <v>0.19504358253638654</v>
      </c>
      <c r="AO74" s="25">
        <f>977.05+500</f>
        <v>1477.05</v>
      </c>
      <c r="AP74" s="58">
        <f t="shared" si="518"/>
        <v>0.77132295471317192</v>
      </c>
      <c r="AQ74" s="25">
        <v>189.8</v>
      </c>
      <c r="AR74" s="58">
        <f t="shared" si="519"/>
        <v>9.9114516640980366E-2</v>
      </c>
      <c r="AS74" s="25">
        <f>1815.8+72.36</f>
        <v>1888.1599999999999</v>
      </c>
      <c r="AT74" s="58">
        <f t="shared" si="571"/>
        <v>0.98600666881366417</v>
      </c>
      <c r="AU74" s="25">
        <v>973.9</v>
      </c>
      <c r="AV74" s="58">
        <f t="shared" si="572"/>
        <v>0.50857548870732749</v>
      </c>
      <c r="AW74" s="25">
        <v>2548.98</v>
      </c>
      <c r="AX74" s="58">
        <f t="shared" si="573"/>
        <v>1.3310902035169974</v>
      </c>
      <c r="AY74" s="25">
        <v>1581.93</v>
      </c>
      <c r="AZ74" s="58">
        <f t="shared" si="574"/>
        <v>0.82609181933543763</v>
      </c>
      <c r="BA74" s="25">
        <f t="shared" si="31"/>
        <v>15075.289999999999</v>
      </c>
      <c r="BB74" s="58">
        <f t="shared" si="32"/>
        <v>0.65603270177933115</v>
      </c>
      <c r="BC74" s="25">
        <f t="shared" ref="BC74:BC138" si="778">BA74/9</f>
        <v>1675.0322222222221</v>
      </c>
      <c r="BD74" s="25">
        <f>AB74*BA1</f>
        <v>1991.5548871111114</v>
      </c>
      <c r="BE74" s="25">
        <f t="shared" ref="BE74:BE138" si="779">BD74*12</f>
        <v>23898.658645333337</v>
      </c>
      <c r="BF74" s="129">
        <v>20000</v>
      </c>
      <c r="BG74" s="129">
        <f t="shared" si="753"/>
        <v>1666.6666666666667</v>
      </c>
      <c r="BH74" s="25">
        <v>3836.38</v>
      </c>
      <c r="BI74" s="58">
        <f t="shared" si="754"/>
        <v>2.301828</v>
      </c>
      <c r="BJ74" s="25">
        <v>572.1</v>
      </c>
      <c r="BK74" s="58">
        <f t="shared" si="754"/>
        <v>0.34326000000000001</v>
      </c>
      <c r="BL74" s="25">
        <v>7118.8</v>
      </c>
      <c r="BM74" s="58">
        <f t="shared" ref="BM74" si="780">BL74/$BG74</f>
        <v>4.27128</v>
      </c>
      <c r="BN74" s="25">
        <v>2602.2800000000002</v>
      </c>
      <c r="BO74" s="58">
        <f t="shared" ref="BO74" si="781">BN74/$BG74</f>
        <v>1.5613680000000001</v>
      </c>
      <c r="BP74" s="25">
        <v>3378.52</v>
      </c>
      <c r="BQ74" s="58">
        <f t="shared" ref="BQ74" si="782">BP74/$BG74</f>
        <v>2.0271119999999998</v>
      </c>
      <c r="BR74" s="25">
        <v>3487.48</v>
      </c>
      <c r="BS74" s="58">
        <f t="shared" ref="BS74" si="783">BR74/$BG74</f>
        <v>2.0924879999999999</v>
      </c>
      <c r="BT74" s="25">
        <f>3722.79-20</f>
        <v>3702.79</v>
      </c>
      <c r="BU74" s="58">
        <f t="shared" ref="BU74" si="784">BT74/$BG74</f>
        <v>2.2216739999999997</v>
      </c>
      <c r="BV74" s="25">
        <v>5379.21</v>
      </c>
      <c r="BW74" s="58">
        <f t="shared" ref="BW74" si="785">BV74/$BG74</f>
        <v>3.2275259999999997</v>
      </c>
      <c r="BX74" s="25">
        <f>295.2+1807.2+517.7</f>
        <v>2620.1000000000004</v>
      </c>
      <c r="BY74" s="58">
        <f t="shared" ref="BY74" si="786">BX74/$BG74</f>
        <v>1.5720600000000002</v>
      </c>
      <c r="BZ74" s="71">
        <v>7203.54</v>
      </c>
      <c r="CA74" s="58">
        <f t="shared" ref="CA74" si="787">BZ74/$BG74</f>
        <v>4.3221239999999996</v>
      </c>
      <c r="CB74" s="25">
        <v>2446.0100000000002</v>
      </c>
      <c r="CC74" s="58">
        <f t="shared" ref="CC74" si="788">CB74/$BG74</f>
        <v>1.467606</v>
      </c>
      <c r="CD74" s="25">
        <f>1296.4+392.57</f>
        <v>1688.97</v>
      </c>
      <c r="CE74" s="58">
        <f t="shared" ref="CE74" si="789">CD74/$BG74</f>
        <v>1.013382</v>
      </c>
      <c r="CF74" s="25">
        <f t="shared" si="728"/>
        <v>44036.180000000008</v>
      </c>
      <c r="CG74" s="58">
        <f t="shared" si="106"/>
        <v>2.2018090000000003</v>
      </c>
    </row>
    <row r="75" spans="1:85" ht="15.75" x14ac:dyDescent="0.25">
      <c r="A75" s="44" t="s">
        <v>53</v>
      </c>
      <c r="B75" s="25">
        <v>457.83539999999999</v>
      </c>
      <c r="C75" s="26">
        <v>314.52</v>
      </c>
      <c r="D75" s="26">
        <v>419.36</v>
      </c>
      <c r="E75" s="25">
        <v>440.32800000000003</v>
      </c>
      <c r="F75" s="25">
        <f t="shared" si="290"/>
        <v>36.694000000000003</v>
      </c>
      <c r="G75" s="25"/>
      <c r="H75" s="58">
        <f t="shared" si="11"/>
        <v>0</v>
      </c>
      <c r="I75" s="25">
        <v>95.58</v>
      </c>
      <c r="J75" s="58">
        <f t="shared" si="12"/>
        <v>2.6047855235188311</v>
      </c>
      <c r="K75" s="25">
        <v>126.7</v>
      </c>
      <c r="L75" s="58">
        <f t="shared" si="13"/>
        <v>3.4528805799313238</v>
      </c>
      <c r="M75" s="25"/>
      <c r="N75" s="58">
        <f t="shared" si="14"/>
        <v>0</v>
      </c>
      <c r="O75" s="64"/>
      <c r="P75" s="58">
        <f t="shared" ref="P75:P145" si="790">O75/$F75</f>
        <v>0</v>
      </c>
      <c r="Q75" s="64"/>
      <c r="R75" s="58">
        <f t="shared" si="511"/>
        <v>0</v>
      </c>
      <c r="S75" s="64"/>
      <c r="T75" s="58">
        <f t="shared" si="512"/>
        <v>0</v>
      </c>
      <c r="U75" s="64"/>
      <c r="V75" s="58">
        <f t="shared" si="513"/>
        <v>0</v>
      </c>
      <c r="W75" s="64"/>
      <c r="X75" s="58">
        <f t="shared" si="569"/>
        <v>0</v>
      </c>
      <c r="Y75" s="25">
        <f t="shared" ref="Y75:Y145" si="791">G75+I75+K75+M75+O75+Q75+S75+U75+W75</f>
        <v>222.28</v>
      </c>
      <c r="Z75" s="58">
        <f t="shared" si="21"/>
        <v>0.50480550862084628</v>
      </c>
      <c r="AA75" s="25">
        <f t="shared" ref="AA75:AA145" si="792">(Y75/9)</f>
        <v>24.697777777777777</v>
      </c>
      <c r="AB75" s="25">
        <f t="shared" si="729"/>
        <v>25.68568888888889</v>
      </c>
      <c r="AD75" s="69">
        <f t="shared" si="93"/>
        <v>1.04</v>
      </c>
      <c r="AG75" s="25">
        <v>173.27</v>
      </c>
      <c r="AH75" s="58">
        <f t="shared" si="765"/>
        <v>6.7457797511108648</v>
      </c>
      <c r="AI75" s="25"/>
      <c r="AJ75" s="58">
        <f t="shared" ref="AJ75" si="793">AI75/$AB75</f>
        <v>0</v>
      </c>
      <c r="AK75" s="25"/>
      <c r="AL75" s="58">
        <f t="shared" si="516"/>
        <v>0</v>
      </c>
      <c r="AM75" s="25">
        <v>42.26</v>
      </c>
      <c r="AN75" s="58">
        <f t="shared" si="517"/>
        <v>1.6452741517974556</v>
      </c>
      <c r="AO75" s="25"/>
      <c r="AP75" s="58">
        <f t="shared" si="518"/>
        <v>0</v>
      </c>
      <c r="AQ75" s="25"/>
      <c r="AR75" s="58">
        <f t="shared" si="519"/>
        <v>0</v>
      </c>
      <c r="AS75" s="25"/>
      <c r="AT75" s="58">
        <f t="shared" si="571"/>
        <v>0</v>
      </c>
      <c r="AU75" s="25"/>
      <c r="AV75" s="58">
        <f t="shared" si="572"/>
        <v>0</v>
      </c>
      <c r="AW75" s="25"/>
      <c r="AX75" s="58">
        <f t="shared" si="573"/>
        <v>0</v>
      </c>
      <c r="AY75" s="25">
        <v>128.80000000000001</v>
      </c>
      <c r="AZ75" s="58">
        <f t="shared" si="574"/>
        <v>5.0144654697470967</v>
      </c>
      <c r="BA75" s="25">
        <f t="shared" ref="BA75:BA139" si="794">AG75+AI75+AK75+AM75+AO75+AQ75+AS75+AU75+AW75+AY75</f>
        <v>344.33000000000004</v>
      </c>
      <c r="BB75" s="58">
        <f t="shared" ref="BB75:BB139" si="795">BA75/(AB75*12)</f>
        <v>1.1171266143879515</v>
      </c>
      <c r="BC75" s="25">
        <f t="shared" si="778"/>
        <v>38.25888888888889</v>
      </c>
      <c r="BD75" s="25">
        <f>BC75*BA1</f>
        <v>39.789244444444449</v>
      </c>
      <c r="BE75" s="25">
        <f t="shared" si="779"/>
        <v>477.47093333333339</v>
      </c>
      <c r="BF75" s="129">
        <v>500</v>
      </c>
      <c r="BG75" s="129">
        <f t="shared" si="753"/>
        <v>41.666666666666664</v>
      </c>
      <c r="BH75" s="25"/>
      <c r="BI75" s="58">
        <f t="shared" si="754"/>
        <v>0</v>
      </c>
      <c r="BJ75" s="25"/>
      <c r="BK75" s="58">
        <f t="shared" si="754"/>
        <v>0</v>
      </c>
      <c r="BL75" s="25"/>
      <c r="BM75" s="58">
        <f t="shared" ref="BM75" si="796">BL75/$BG75</f>
        <v>0</v>
      </c>
      <c r="BN75" s="25"/>
      <c r="BO75" s="58">
        <f t="shared" ref="BO75" si="797">BN75/$BG75</f>
        <v>0</v>
      </c>
      <c r="BP75" s="25">
        <v>72.959999999999994</v>
      </c>
      <c r="BQ75" s="58">
        <f t="shared" ref="BQ75" si="798">BP75/$BG75</f>
        <v>1.7510399999999999</v>
      </c>
      <c r="BR75" s="25">
        <v>0</v>
      </c>
      <c r="BS75" s="58">
        <f t="shared" ref="BS75" si="799">BR75/$BG75</f>
        <v>0</v>
      </c>
      <c r="BT75" s="25">
        <v>36.200000000000003</v>
      </c>
      <c r="BU75" s="58">
        <f t="shared" ref="BU75" si="800">BT75/$BG75</f>
        <v>0.86880000000000013</v>
      </c>
      <c r="BV75" s="25">
        <v>181.58</v>
      </c>
      <c r="BW75" s="58">
        <f t="shared" ref="BW75" si="801">BV75/$BG75</f>
        <v>4.3579200000000009</v>
      </c>
      <c r="BX75" s="25"/>
      <c r="BY75" s="58">
        <f t="shared" ref="BY75" si="802">BX75/$BG75</f>
        <v>0</v>
      </c>
      <c r="BZ75" s="71"/>
      <c r="CA75" s="58">
        <f t="shared" ref="CA75" si="803">BZ75/$BG75</f>
        <v>0</v>
      </c>
      <c r="CB75" s="25"/>
      <c r="CC75" s="58">
        <f t="shared" ref="CC75" si="804">CB75/$BG75</f>
        <v>0</v>
      </c>
      <c r="CD75" s="25">
        <v>48.5</v>
      </c>
      <c r="CE75" s="58">
        <f t="shared" ref="CE75" si="805">CD75/$BG75</f>
        <v>1.1640000000000001</v>
      </c>
      <c r="CF75" s="25">
        <f t="shared" si="728"/>
        <v>339.24</v>
      </c>
      <c r="CG75" s="58">
        <f t="shared" si="106"/>
        <v>0.67847999999999997</v>
      </c>
    </row>
    <row r="76" spans="1:85" ht="15.75" x14ac:dyDescent="0.25">
      <c r="A76" s="41" t="s">
        <v>54</v>
      </c>
      <c r="B76" s="42">
        <v>125669.88394999999</v>
      </c>
      <c r="C76" s="42">
        <v>80511.22</v>
      </c>
      <c r="D76" s="43">
        <v>125576.58666666667</v>
      </c>
      <c r="E76" s="43">
        <v>126985.416</v>
      </c>
      <c r="F76" s="43">
        <f t="shared" si="290"/>
        <v>10582.118</v>
      </c>
      <c r="G76" s="43">
        <f>SUM(G77:G82)</f>
        <v>15024.94</v>
      </c>
      <c r="H76" s="60">
        <f t="shared" ref="H76:H147" si="806">G76/F76</f>
        <v>1.4198424171796231</v>
      </c>
      <c r="I76" s="43">
        <f>SUM(I77:I82)</f>
        <v>15401.79</v>
      </c>
      <c r="J76" s="60">
        <f t="shared" ref="J76:J146" si="807">I76/F76</f>
        <v>1.4554543806825817</v>
      </c>
      <c r="K76" s="43">
        <f>SUM(K77:K82)</f>
        <v>11785.050000000001</v>
      </c>
      <c r="L76" s="60">
        <f t="shared" ref="L76:L147" si="808">K76/F76</f>
        <v>1.1136759200757353</v>
      </c>
      <c r="M76" s="43">
        <f>SUM(M77:M82)</f>
        <v>9783.4500000000007</v>
      </c>
      <c r="N76" s="60">
        <f t="shared" ref="N76:N147" si="809">M76/F76</f>
        <v>0.92452664013007613</v>
      </c>
      <c r="O76" s="66">
        <f>SUM(O77:O82)</f>
        <v>20200.68</v>
      </c>
      <c r="P76" s="60">
        <f t="shared" si="790"/>
        <v>1.9089448823004997</v>
      </c>
      <c r="Q76" s="66">
        <f>SUM(Q77:Q82)</f>
        <v>5948.3</v>
      </c>
      <c r="R76" s="60">
        <f t="shared" si="511"/>
        <v>0.56210864403515437</v>
      </c>
      <c r="S76" s="66">
        <f>SUM(S77:S82)</f>
        <v>16160.470000000001</v>
      </c>
      <c r="T76" s="60">
        <f t="shared" si="512"/>
        <v>1.5271489129113851</v>
      </c>
      <c r="U76" s="66">
        <f>SUM(U77:U82)</f>
        <v>22042.11</v>
      </c>
      <c r="V76" s="60">
        <f t="shared" si="513"/>
        <v>2.0829582508907953</v>
      </c>
      <c r="W76" s="66">
        <f>SUM(W77:W82)</f>
        <v>16581.48</v>
      </c>
      <c r="X76" s="60">
        <f t="shared" si="569"/>
        <v>1.5669339540534324</v>
      </c>
      <c r="Y76" s="43">
        <f t="shared" si="791"/>
        <v>132928.27000000002</v>
      </c>
      <c r="Z76" s="60">
        <f t="shared" ref="Z76:Z147" si="810">Y76/$E76</f>
        <v>1.0467995001882737</v>
      </c>
      <c r="AA76" s="43">
        <f t="shared" si="792"/>
        <v>14769.80777777778</v>
      </c>
      <c r="AB76" s="43">
        <f>SUM(AB77:AB82)</f>
        <v>23291.255733333335</v>
      </c>
      <c r="AD76" s="69"/>
      <c r="AG76" s="43">
        <f>SUM(AG77:AG82)</f>
        <v>36681.160000000003</v>
      </c>
      <c r="AH76" s="60">
        <f t="shared" si="765"/>
        <v>1.5748897534753215</v>
      </c>
      <c r="AI76" s="43">
        <f>SUM(AI77:AI82)</f>
        <v>27263.89</v>
      </c>
      <c r="AJ76" s="60">
        <f t="shared" ref="AJ76" si="811">AI76/$AB76</f>
        <v>1.1705633355345981</v>
      </c>
      <c r="AK76" s="43">
        <f>SUM(AK77:AK82)</f>
        <v>0</v>
      </c>
      <c r="AL76" s="60">
        <f t="shared" si="516"/>
        <v>0</v>
      </c>
      <c r="AM76" s="43">
        <f>SUM(AM77:AM82)</f>
        <v>47366.33</v>
      </c>
      <c r="AN76" s="60">
        <f t="shared" si="517"/>
        <v>2.0336529100151335</v>
      </c>
      <c r="AO76" s="43">
        <f>SUM(AO77:AO82)</f>
        <v>30254.22</v>
      </c>
      <c r="AP76" s="60">
        <f t="shared" si="518"/>
        <v>1.29895186186555</v>
      </c>
      <c r="AQ76" s="43">
        <f>SUM(AQ77:AQ82)</f>
        <v>11358.48</v>
      </c>
      <c r="AR76" s="60">
        <f t="shared" si="519"/>
        <v>0.48767143043061795</v>
      </c>
      <c r="AS76" s="43">
        <f>SUM(AS77:AS82)</f>
        <v>8732.369999999999</v>
      </c>
      <c r="AT76" s="60">
        <f t="shared" si="571"/>
        <v>0.37492053240833412</v>
      </c>
      <c r="AU76" s="43">
        <f>SUM(AU77:AU82)</f>
        <v>13198.52</v>
      </c>
      <c r="AV76" s="60">
        <f t="shared" si="572"/>
        <v>0.5666727526893669</v>
      </c>
      <c r="AW76" s="43">
        <f>SUM(AW77:AW82)</f>
        <v>12445.01</v>
      </c>
      <c r="AX76" s="60">
        <f t="shared" si="573"/>
        <v>0.53432112645559493</v>
      </c>
      <c r="AY76" s="43">
        <f>SUM(AY77:AY82)</f>
        <v>12847.48</v>
      </c>
      <c r="AZ76" s="60">
        <f t="shared" si="574"/>
        <v>0.55160100198519135</v>
      </c>
      <c r="BA76" s="43">
        <f t="shared" si="794"/>
        <v>200147.46000000002</v>
      </c>
      <c r="BB76" s="60">
        <f t="shared" si="795"/>
        <v>0.7161037254049758</v>
      </c>
      <c r="BC76" s="43">
        <f t="shared" si="778"/>
        <v>22238.60666666667</v>
      </c>
      <c r="BD76" s="43">
        <f>SUM(BD77:BD82)</f>
        <v>26062.726222222223</v>
      </c>
      <c r="BE76" s="43">
        <f t="shared" si="779"/>
        <v>312752.7146666667</v>
      </c>
      <c r="BF76" s="136">
        <f>SUM(BF77:BF82)</f>
        <v>276900</v>
      </c>
      <c r="BG76" s="136">
        <f t="shared" si="753"/>
        <v>23075</v>
      </c>
      <c r="BH76" s="43">
        <f>SUM(BH77:BH82)</f>
        <v>23683.850000000002</v>
      </c>
      <c r="BI76" s="60">
        <f t="shared" si="754"/>
        <v>1.026385698808234</v>
      </c>
      <c r="BJ76" s="43">
        <f>SUM(BJ77:BJ82)</f>
        <v>17676.97</v>
      </c>
      <c r="BK76" s="60">
        <f t="shared" si="754"/>
        <v>0.76606587215601307</v>
      </c>
      <c r="BL76" s="43">
        <f>SUM(BL77:BL82)</f>
        <v>33205.64</v>
      </c>
      <c r="BM76" s="60">
        <f t="shared" ref="BM76" si="812">BL76/$BG76</f>
        <v>1.4390309859154928</v>
      </c>
      <c r="BN76" s="43">
        <f>SUM(BN77:BN82)</f>
        <v>21422.37</v>
      </c>
      <c r="BO76" s="60">
        <f t="shared" ref="BO76" si="813">BN76/$BG76</f>
        <v>0.92838006500541703</v>
      </c>
      <c r="BP76" s="43">
        <f>SUM(BP77:BP82)</f>
        <v>15540.25</v>
      </c>
      <c r="BQ76" s="60">
        <f t="shared" ref="BQ76" si="814">BP76/$BG76</f>
        <v>0.67346695557963165</v>
      </c>
      <c r="BR76" s="43">
        <f>SUM(BR77:BR82)</f>
        <v>45217.990000000005</v>
      </c>
      <c r="BS76" s="60">
        <f t="shared" ref="BS76" si="815">BR76/$BG76</f>
        <v>1.9596095341278441</v>
      </c>
      <c r="BT76" s="43">
        <f>SUM(BT77:BT82)</f>
        <v>39963.740000000005</v>
      </c>
      <c r="BU76" s="60">
        <f t="shared" ref="BU76" si="816">BT76/$BG76</f>
        <v>1.7319063921993503</v>
      </c>
      <c r="BV76" s="43">
        <f>SUM(BV77:BV82)</f>
        <v>56984.77</v>
      </c>
      <c r="BW76" s="60">
        <f t="shared" ref="BW76" si="817">BV76/$BG76</f>
        <v>2.4695458288190681</v>
      </c>
      <c r="BX76" s="43">
        <f>SUM(BX77:BX82)</f>
        <v>8149.84</v>
      </c>
      <c r="BY76" s="60">
        <f t="shared" ref="BY76" si="818">BX76/$BG76</f>
        <v>0.35318916576381365</v>
      </c>
      <c r="BZ76" s="43">
        <v>43413.570000000007</v>
      </c>
      <c r="CA76" s="60">
        <f t="shared" ref="CA76" si="819">BZ76/$BG76</f>
        <v>1.8814114842903578</v>
      </c>
      <c r="CB76" s="43">
        <f>SUM(CB77:CB82)</f>
        <v>42705.841</v>
      </c>
      <c r="CC76" s="60">
        <f t="shared" ref="CC76" si="820">CB76/$BG76</f>
        <v>1.8507406717226436</v>
      </c>
      <c r="CD76" s="43">
        <f>SUM(CD77:CD82)</f>
        <v>42571.03</v>
      </c>
      <c r="CE76" s="60">
        <f t="shared" ref="CE76" si="821">CD76/$BG76</f>
        <v>1.844898374864572</v>
      </c>
      <c r="CF76" s="43">
        <f>SUM(CF77:CF82)</f>
        <v>390535.86100000003</v>
      </c>
      <c r="CG76" s="60">
        <f t="shared" si="106"/>
        <v>1.4103859191043699</v>
      </c>
    </row>
    <row r="77" spans="1:85" ht="15.75" x14ac:dyDescent="0.25">
      <c r="A77" s="44" t="s">
        <v>55</v>
      </c>
      <c r="B77" s="25">
        <v>49622</v>
      </c>
      <c r="C77" s="26">
        <v>42486.2</v>
      </c>
      <c r="D77" s="26">
        <v>56648.266666666663</v>
      </c>
      <c r="E77" s="25">
        <v>59480.68</v>
      </c>
      <c r="F77" s="25">
        <f t="shared" si="290"/>
        <v>4956.7233333333334</v>
      </c>
      <c r="G77" s="25">
        <v>3710</v>
      </c>
      <c r="H77" s="58">
        <f t="shared" si="806"/>
        <v>0.74847832943402803</v>
      </c>
      <c r="I77" s="25">
        <v>3710</v>
      </c>
      <c r="J77" s="58">
        <f t="shared" si="807"/>
        <v>0.74847832943402803</v>
      </c>
      <c r="K77" s="25">
        <v>7420</v>
      </c>
      <c r="L77" s="58">
        <f t="shared" si="808"/>
        <v>1.4969566588680561</v>
      </c>
      <c r="M77" s="25">
        <v>3710</v>
      </c>
      <c r="N77" s="58">
        <f t="shared" si="809"/>
        <v>0.74847832943402803</v>
      </c>
      <c r="O77" s="64">
        <v>3710</v>
      </c>
      <c r="P77" s="58">
        <f t="shared" si="790"/>
        <v>0.74847832943402803</v>
      </c>
      <c r="Q77" s="64">
        <v>3710</v>
      </c>
      <c r="R77" s="58">
        <f t="shared" si="511"/>
        <v>0.74847832943402803</v>
      </c>
      <c r="S77" s="64">
        <v>3710</v>
      </c>
      <c r="T77" s="58">
        <f t="shared" si="512"/>
        <v>0.74847832943402803</v>
      </c>
      <c r="U77" s="64">
        <v>7420</v>
      </c>
      <c r="V77" s="58">
        <f t="shared" si="513"/>
        <v>1.4969566588680561</v>
      </c>
      <c r="W77" s="64">
        <v>3710</v>
      </c>
      <c r="X77" s="58">
        <f t="shared" si="569"/>
        <v>0.74847832943402803</v>
      </c>
      <c r="Y77" s="25">
        <f t="shared" si="791"/>
        <v>40810</v>
      </c>
      <c r="Z77" s="58">
        <f t="shared" si="810"/>
        <v>0.68610513531452566</v>
      </c>
      <c r="AA77" s="25">
        <f t="shared" si="792"/>
        <v>4534.4444444444443</v>
      </c>
      <c r="AB77" s="71">
        <f>AA77*$AC$7</f>
        <v>4715.8222222222221</v>
      </c>
      <c r="AD77" s="69">
        <f t="shared" si="93"/>
        <v>1.04</v>
      </c>
      <c r="AG77" s="25"/>
      <c r="AH77" s="58">
        <f t="shared" si="765"/>
        <v>0</v>
      </c>
      <c r="AI77" s="25">
        <v>7730</v>
      </c>
      <c r="AJ77" s="58">
        <f t="shared" ref="AJ77" si="822">AI77/$AB77</f>
        <v>1.6391627240683846</v>
      </c>
      <c r="AK77" s="25"/>
      <c r="AL77" s="58">
        <f t="shared" si="516"/>
        <v>0</v>
      </c>
      <c r="AM77" s="25">
        <v>11595</v>
      </c>
      <c r="AN77" s="58">
        <f t="shared" si="517"/>
        <v>2.4587440861025769</v>
      </c>
      <c r="AO77" s="25">
        <v>3865</v>
      </c>
      <c r="AP77" s="58">
        <f t="shared" si="518"/>
        <v>0.8195813620341923</v>
      </c>
      <c r="AQ77" s="25">
        <v>3478.5</v>
      </c>
      <c r="AR77" s="58">
        <f t="shared" si="519"/>
        <v>0.737623225830773</v>
      </c>
      <c r="AS77" s="25">
        <v>3478.5</v>
      </c>
      <c r="AT77" s="58">
        <f t="shared" si="571"/>
        <v>0.737623225830773</v>
      </c>
      <c r="AU77" s="25">
        <v>3478.5</v>
      </c>
      <c r="AV77" s="58">
        <f t="shared" si="572"/>
        <v>0.737623225830773</v>
      </c>
      <c r="AW77" s="25">
        <v>3478.5</v>
      </c>
      <c r="AX77" s="58">
        <f t="shared" si="573"/>
        <v>0.737623225830773</v>
      </c>
      <c r="AY77" s="25">
        <v>3478.5</v>
      </c>
      <c r="AZ77" s="58">
        <f t="shared" si="574"/>
        <v>0.737623225830773</v>
      </c>
      <c r="BA77" s="25">
        <f t="shared" si="794"/>
        <v>40582.5</v>
      </c>
      <c r="BB77" s="58">
        <f t="shared" si="795"/>
        <v>0.71713369177991815</v>
      </c>
      <c r="BC77" s="25">
        <f t="shared" si="778"/>
        <v>4509.166666666667</v>
      </c>
      <c r="BD77" s="25">
        <f>AB77*BA1</f>
        <v>4904.4551111111114</v>
      </c>
      <c r="BE77" s="25">
        <f t="shared" si="779"/>
        <v>58853.46133333334</v>
      </c>
      <c r="BF77" s="129">
        <v>54000</v>
      </c>
      <c r="BG77" s="129">
        <f t="shared" si="753"/>
        <v>4500</v>
      </c>
      <c r="BH77" s="25">
        <v>4020</v>
      </c>
      <c r="BI77" s="58">
        <f t="shared" si="754"/>
        <v>0.89333333333333331</v>
      </c>
      <c r="BJ77" s="25">
        <v>4020</v>
      </c>
      <c r="BK77" s="58">
        <f t="shared" si="754"/>
        <v>0.89333333333333331</v>
      </c>
      <c r="BL77" s="25">
        <v>4020</v>
      </c>
      <c r="BM77" s="58">
        <f t="shared" ref="BM77" si="823">BL77/$BG77</f>
        <v>0.89333333333333331</v>
      </c>
      <c r="BN77" s="25">
        <v>8040</v>
      </c>
      <c r="BO77" s="58">
        <f t="shared" ref="BO77" si="824">BN77/$BG77</f>
        <v>1.7866666666666666</v>
      </c>
      <c r="BP77" s="25">
        <v>4020</v>
      </c>
      <c r="BQ77" s="58">
        <f t="shared" ref="BQ77" si="825">BP77/$BG77</f>
        <v>0.89333333333333331</v>
      </c>
      <c r="BR77" s="25">
        <v>4020</v>
      </c>
      <c r="BS77" s="58">
        <f t="shared" ref="BS77" si="826">BR77/$BG77</f>
        <v>0.89333333333333331</v>
      </c>
      <c r="BT77" s="25">
        <v>4020</v>
      </c>
      <c r="BU77" s="58">
        <f t="shared" ref="BU77" si="827">BT77/$BG77</f>
        <v>0.89333333333333331</v>
      </c>
      <c r="BV77" s="25">
        <v>8040</v>
      </c>
      <c r="BW77" s="58">
        <f t="shared" ref="BW77" si="828">BV77/$BG77</f>
        <v>1.7866666666666666</v>
      </c>
      <c r="BX77" s="25"/>
      <c r="BY77" s="58">
        <f t="shared" ref="BY77" si="829">BX77/$BG77</f>
        <v>0</v>
      </c>
      <c r="BZ77" s="71">
        <v>4020</v>
      </c>
      <c r="CA77" s="58">
        <f t="shared" ref="CA77" si="830">BZ77/$BG77</f>
        <v>0.89333333333333331</v>
      </c>
      <c r="CB77" s="25">
        <v>4020</v>
      </c>
      <c r="CC77" s="58">
        <f t="shared" ref="CC77" si="831">CB77/$BG77</f>
        <v>0.89333333333333331</v>
      </c>
      <c r="CD77" s="25">
        <v>4020</v>
      </c>
      <c r="CE77" s="58">
        <f t="shared" ref="CE77" si="832">CD77/$BG77</f>
        <v>0.89333333333333331</v>
      </c>
      <c r="CF77" s="25">
        <f t="shared" ref="CF77:CF82" si="833">BH77+BJ77+BL77+BN77+BP77+BR77+BT77+BV77+BX77+BZ77+CB77+CD77</f>
        <v>52260</v>
      </c>
      <c r="CG77" s="58">
        <f t="shared" ref="CG77:CG141" si="834">CF77/(BG77*12)</f>
        <v>0.96777777777777774</v>
      </c>
    </row>
    <row r="78" spans="1:85" ht="15.75" x14ac:dyDescent="0.25">
      <c r="A78" s="44" t="s">
        <v>56</v>
      </c>
      <c r="B78" s="25">
        <v>3000</v>
      </c>
      <c r="C78" s="26">
        <v>4601.8599999999997</v>
      </c>
      <c r="D78" s="26">
        <v>4297.4399999999996</v>
      </c>
      <c r="E78" s="25">
        <v>4512.3119999999999</v>
      </c>
      <c r="F78" s="25">
        <f t="shared" si="290"/>
        <v>376.02600000000001</v>
      </c>
      <c r="G78" s="25">
        <v>342.84</v>
      </c>
      <c r="H78" s="58">
        <f t="shared" si="806"/>
        <v>0.91174546440937587</v>
      </c>
      <c r="I78" s="25">
        <v>7000</v>
      </c>
      <c r="J78" s="58">
        <f t="shared" si="807"/>
        <v>18.615734018392345</v>
      </c>
      <c r="K78" s="25"/>
      <c r="L78" s="58">
        <f t="shared" si="808"/>
        <v>0</v>
      </c>
      <c r="M78" s="25">
        <v>342.84</v>
      </c>
      <c r="N78" s="58">
        <f t="shared" si="809"/>
        <v>0.91174546440937587</v>
      </c>
      <c r="O78" s="64">
        <v>445.94</v>
      </c>
      <c r="P78" s="58">
        <f t="shared" si="790"/>
        <v>1.1859286325945546</v>
      </c>
      <c r="Q78" s="64">
        <v>342.84</v>
      </c>
      <c r="R78" s="58">
        <f t="shared" si="511"/>
        <v>0.91174546440937587</v>
      </c>
      <c r="S78" s="64">
        <v>342.84</v>
      </c>
      <c r="T78" s="58">
        <f t="shared" si="512"/>
        <v>0.91174546440937587</v>
      </c>
      <c r="U78" s="64">
        <v>369.09</v>
      </c>
      <c r="V78" s="58">
        <f t="shared" si="513"/>
        <v>0.98155446697834714</v>
      </c>
      <c r="W78" s="64">
        <f>369.09</f>
        <v>369.09</v>
      </c>
      <c r="X78" s="58">
        <f t="shared" si="569"/>
        <v>0.98155446697834714</v>
      </c>
      <c r="Y78" s="25">
        <f t="shared" si="791"/>
        <v>9555.48</v>
      </c>
      <c r="Z78" s="58">
        <f t="shared" si="810"/>
        <v>2.1176461202150914</v>
      </c>
      <c r="AA78" s="25">
        <f t="shared" si="792"/>
        <v>1061.72</v>
      </c>
      <c r="AB78" s="71">
        <f t="shared" ref="AB78:AB79" si="835">AA78*$AC$7</f>
        <v>1104.1888000000001</v>
      </c>
      <c r="AD78" s="69">
        <f t="shared" si="93"/>
        <v>1.04</v>
      </c>
      <c r="AG78" s="25">
        <v>6600</v>
      </c>
      <c r="AH78" s="58">
        <f t="shared" si="765"/>
        <v>5.9772386751251227</v>
      </c>
      <c r="AI78" s="25">
        <v>1041.98</v>
      </c>
      <c r="AJ78" s="58">
        <f t="shared" ref="AJ78" si="836">AI78/$AB78</f>
        <v>0.94366108404649629</v>
      </c>
      <c r="AK78" s="25"/>
      <c r="AL78" s="58">
        <f t="shared" si="516"/>
        <v>0</v>
      </c>
      <c r="AM78" s="25">
        <v>369.09</v>
      </c>
      <c r="AN78" s="58">
        <f t="shared" si="517"/>
        <v>0.33426348827301994</v>
      </c>
      <c r="AO78" s="25">
        <v>11369.09</v>
      </c>
      <c r="AP78" s="58">
        <f t="shared" si="518"/>
        <v>10.296327946814891</v>
      </c>
      <c r="AQ78" s="25">
        <v>369.09</v>
      </c>
      <c r="AR78" s="58">
        <f t="shared" si="519"/>
        <v>0.33426348827301994</v>
      </c>
      <c r="AS78" s="25"/>
      <c r="AT78" s="58">
        <f t="shared" si="571"/>
        <v>0</v>
      </c>
      <c r="AU78" s="25"/>
      <c r="AV78" s="58">
        <f t="shared" si="572"/>
        <v>0</v>
      </c>
      <c r="AW78" s="25"/>
      <c r="AX78" s="58">
        <f t="shared" si="573"/>
        <v>0</v>
      </c>
      <c r="AY78" s="25"/>
      <c r="AZ78" s="58">
        <f t="shared" si="574"/>
        <v>0</v>
      </c>
      <c r="BA78" s="25">
        <f t="shared" si="794"/>
        <v>19749.25</v>
      </c>
      <c r="BB78" s="58">
        <f t="shared" si="795"/>
        <v>1.4904795568777125</v>
      </c>
      <c r="BC78" s="25">
        <f t="shared" si="778"/>
        <v>2194.3611111111113</v>
      </c>
      <c r="BD78" s="25">
        <f>BC78*BA1</f>
        <v>2282.135555555556</v>
      </c>
      <c r="BE78" s="25">
        <f t="shared" si="779"/>
        <v>27385.626666666671</v>
      </c>
      <c r="BF78" s="129">
        <v>27400</v>
      </c>
      <c r="BG78" s="129">
        <f t="shared" si="753"/>
        <v>2283.3333333333335</v>
      </c>
      <c r="BH78" s="25"/>
      <c r="BI78" s="58">
        <f t="shared" si="754"/>
        <v>0</v>
      </c>
      <c r="BJ78" s="25">
        <v>831.69</v>
      </c>
      <c r="BK78" s="58">
        <f t="shared" si="754"/>
        <v>0.36424379562043796</v>
      </c>
      <c r="BL78" s="25">
        <v>428.52</v>
      </c>
      <c r="BM78" s="58">
        <f t="shared" ref="BM78" si="837">BL78/$BG78</f>
        <v>0.1876729927007299</v>
      </c>
      <c r="BN78" s="25"/>
      <c r="BO78" s="58">
        <f t="shared" ref="BO78" si="838">BN78/$BG78</f>
        <v>0</v>
      </c>
      <c r="BP78" s="25">
        <v>658.28</v>
      </c>
      <c r="BQ78" s="58">
        <f t="shared" ref="BQ78" si="839">BP78/$BG78</f>
        <v>0.28829781021897805</v>
      </c>
      <c r="BR78" s="25">
        <v>219.36</v>
      </c>
      <c r="BS78" s="58">
        <f t="shared" ref="BS78" si="840">BR78/$BG78</f>
        <v>9.6070072992700734E-2</v>
      </c>
      <c r="BT78" s="25">
        <v>257.7</v>
      </c>
      <c r="BU78" s="58">
        <f t="shared" ref="BU78" si="841">BT78/$BG78</f>
        <v>0.11286131386861313</v>
      </c>
      <c r="BV78" s="25">
        <v>313.35000000000002</v>
      </c>
      <c r="BW78" s="58">
        <f t="shared" ref="BW78" si="842">BV78/$BG78</f>
        <v>0.13723357664233576</v>
      </c>
      <c r="BX78" s="25"/>
      <c r="BY78" s="58">
        <f t="shared" ref="BY78" si="843">BX78/$BG78</f>
        <v>0</v>
      </c>
      <c r="BZ78" s="71">
        <v>257.7</v>
      </c>
      <c r="CA78" s="58">
        <f t="shared" ref="CA78" si="844">BZ78/$BG78</f>
        <v>0.11286131386861313</v>
      </c>
      <c r="CB78" s="25">
        <v>257.7</v>
      </c>
      <c r="CC78" s="58">
        <f t="shared" ref="CC78" si="845">CB78/$BG78</f>
        <v>0.11286131386861313</v>
      </c>
      <c r="CD78" s="25">
        <v>2190.66</v>
      </c>
      <c r="CE78" s="58">
        <f t="shared" ref="CE78" si="846">CD78/$BG78</f>
        <v>0.95941313868613121</v>
      </c>
      <c r="CF78" s="25">
        <f t="shared" si="833"/>
        <v>5414.9599999999991</v>
      </c>
      <c r="CG78" s="58">
        <f t="shared" si="834"/>
        <v>0.19762627737226274</v>
      </c>
    </row>
    <row r="79" spans="1:85" ht="15.75" x14ac:dyDescent="0.25">
      <c r="A79" s="44" t="s">
        <v>204</v>
      </c>
      <c r="B79" s="25">
        <v>21000</v>
      </c>
      <c r="C79" s="26">
        <v>7000</v>
      </c>
      <c r="D79" s="26">
        <v>21000</v>
      </c>
      <c r="E79" s="25">
        <v>21000</v>
      </c>
      <c r="F79" s="25">
        <f t="shared" si="290"/>
        <v>1750</v>
      </c>
      <c r="G79" s="25">
        <v>7000</v>
      </c>
      <c r="H79" s="58">
        <f t="shared" si="806"/>
        <v>4</v>
      </c>
      <c r="I79" s="25">
        <v>342.84</v>
      </c>
      <c r="J79" s="58">
        <f t="shared" si="807"/>
        <v>0.1959085714285714</v>
      </c>
      <c r="K79" s="25">
        <v>433.84</v>
      </c>
      <c r="L79" s="58">
        <f t="shared" si="808"/>
        <v>0.24790857142857142</v>
      </c>
      <c r="M79" s="25"/>
      <c r="N79" s="58">
        <f t="shared" si="809"/>
        <v>0</v>
      </c>
      <c r="O79" s="64"/>
      <c r="P79" s="58">
        <f t="shared" si="790"/>
        <v>0</v>
      </c>
      <c r="Q79" s="64"/>
      <c r="R79" s="58">
        <f t="shared" si="511"/>
        <v>0</v>
      </c>
      <c r="S79" s="64"/>
      <c r="T79" s="58">
        <f t="shared" si="512"/>
        <v>0</v>
      </c>
      <c r="U79" s="64"/>
      <c r="V79" s="58">
        <f t="shared" si="513"/>
        <v>0</v>
      </c>
      <c r="W79" s="64"/>
      <c r="X79" s="58">
        <f t="shared" si="569"/>
        <v>0</v>
      </c>
      <c r="Y79" s="25">
        <f t="shared" si="791"/>
        <v>7776.68</v>
      </c>
      <c r="Z79" s="58">
        <f t="shared" si="810"/>
        <v>0.37031809523809528</v>
      </c>
      <c r="AA79" s="25">
        <f t="shared" si="792"/>
        <v>864.07555555555564</v>
      </c>
      <c r="AB79" s="71">
        <f t="shared" si="835"/>
        <v>898.63857777777787</v>
      </c>
      <c r="AD79" s="69">
        <f t="shared" ref="AD79:AD143" si="847">AB79/AA79</f>
        <v>1.04</v>
      </c>
      <c r="AG79" s="25">
        <v>7000</v>
      </c>
      <c r="AH79" s="58">
        <f t="shared" si="765"/>
        <v>7.7895609793540519</v>
      </c>
      <c r="AI79" s="25">
        <v>7000</v>
      </c>
      <c r="AJ79" s="58">
        <f t="shared" ref="AJ79" si="848">AI79/$AB79</f>
        <v>7.7895609793540519</v>
      </c>
      <c r="AK79" s="25"/>
      <c r="AL79" s="58">
        <f t="shared" si="516"/>
        <v>0</v>
      </c>
      <c r="AM79" s="25">
        <v>7000</v>
      </c>
      <c r="AN79" s="58">
        <f t="shared" si="517"/>
        <v>7.7895609793540519</v>
      </c>
      <c r="AO79" s="25"/>
      <c r="AP79" s="58">
        <f t="shared" si="518"/>
        <v>0</v>
      </c>
      <c r="AQ79" s="25"/>
      <c r="AR79" s="58">
        <f t="shared" si="519"/>
        <v>0</v>
      </c>
      <c r="AS79" s="25"/>
      <c r="AT79" s="58">
        <f t="shared" si="571"/>
        <v>0</v>
      </c>
      <c r="AU79" s="25"/>
      <c r="AV79" s="58">
        <f t="shared" si="572"/>
        <v>0</v>
      </c>
      <c r="AW79" s="25"/>
      <c r="AX79" s="58">
        <f t="shared" si="573"/>
        <v>0</v>
      </c>
      <c r="AY79" s="25"/>
      <c r="AZ79" s="58">
        <f t="shared" si="574"/>
        <v>0</v>
      </c>
      <c r="BA79" s="25">
        <f t="shared" si="794"/>
        <v>21000</v>
      </c>
      <c r="BB79" s="58">
        <f t="shared" si="795"/>
        <v>1.947390244838513</v>
      </c>
      <c r="BC79" s="25">
        <f t="shared" si="778"/>
        <v>2333.3333333333335</v>
      </c>
      <c r="BD79" s="25">
        <f>21000/12</f>
        <v>1750</v>
      </c>
      <c r="BE79" s="25">
        <f t="shared" si="779"/>
        <v>21000</v>
      </c>
      <c r="BF79" s="129">
        <v>22000</v>
      </c>
      <c r="BG79" s="129">
        <f t="shared" si="753"/>
        <v>1833.3333333333333</v>
      </c>
      <c r="BH79" s="25">
        <v>7556.85</v>
      </c>
      <c r="BI79" s="58">
        <f t="shared" si="754"/>
        <v>4.1219181818181818</v>
      </c>
      <c r="BJ79" s="25"/>
      <c r="BK79" s="58">
        <f t="shared" si="754"/>
        <v>0</v>
      </c>
      <c r="BL79" s="25">
        <v>355.2</v>
      </c>
      <c r="BM79" s="58">
        <f t="shared" ref="BM79" si="849">BL79/$BG79</f>
        <v>0.19374545454545455</v>
      </c>
      <c r="BN79" s="25"/>
      <c r="BO79" s="58">
        <f t="shared" ref="BO79" si="850">BN79/$BG79</f>
        <v>0</v>
      </c>
      <c r="BP79" s="25"/>
      <c r="BQ79" s="58">
        <f t="shared" ref="BQ79" si="851">BP79/$BG79</f>
        <v>0</v>
      </c>
      <c r="BR79" s="25">
        <v>3798.3</v>
      </c>
      <c r="BS79" s="58">
        <f t="shared" ref="BS79" si="852">BR79/$BG79</f>
        <v>2.0718000000000001</v>
      </c>
      <c r="BT79" s="25">
        <v>3041.4</v>
      </c>
      <c r="BU79" s="58">
        <f t="shared" ref="BU79" si="853">BT79/$BG79</f>
        <v>1.6589454545454547</v>
      </c>
      <c r="BV79" s="25">
        <v>3041.4</v>
      </c>
      <c r="BW79" s="58">
        <f t="shared" ref="BW79" si="854">BV79/$BG79</f>
        <v>1.6589454545454547</v>
      </c>
      <c r="BX79" s="25"/>
      <c r="BY79" s="58">
        <f t="shared" ref="BY79" si="855">BX79/$BG79</f>
        <v>0</v>
      </c>
      <c r="BZ79" s="71">
        <v>3041.4</v>
      </c>
      <c r="CA79" s="58">
        <f t="shared" ref="CA79" si="856">BZ79/$BG79</f>
        <v>1.6589454545454547</v>
      </c>
      <c r="CB79" s="25">
        <v>3041.4009999999998</v>
      </c>
      <c r="CC79" s="58">
        <f t="shared" ref="CC79" si="857">CB79/$BG79</f>
        <v>1.658946</v>
      </c>
      <c r="CD79" s="25">
        <v>3041.4</v>
      </c>
      <c r="CE79" s="58">
        <f t="shared" ref="CE79" si="858">CD79/$BG79</f>
        <v>1.6589454545454547</v>
      </c>
      <c r="CF79" s="25">
        <f t="shared" si="833"/>
        <v>26917.351000000002</v>
      </c>
      <c r="CG79" s="58">
        <f t="shared" si="834"/>
        <v>1.2235159545454546</v>
      </c>
    </row>
    <row r="80" spans="1:85" ht="15.75" x14ac:dyDescent="0.25">
      <c r="A80" s="44" t="s">
        <v>57</v>
      </c>
      <c r="B80" s="25">
        <v>8400</v>
      </c>
      <c r="C80" s="26"/>
      <c r="D80" s="26">
        <v>8400</v>
      </c>
      <c r="E80" s="25">
        <v>5000</v>
      </c>
      <c r="F80" s="25">
        <f t="shared" si="290"/>
        <v>416.66666666666669</v>
      </c>
      <c r="G80" s="25">
        <v>120</v>
      </c>
      <c r="H80" s="58">
        <f t="shared" si="806"/>
        <v>0.28799999999999998</v>
      </c>
      <c r="I80" s="25">
        <f>285.71+57.14+142.85+28.57</f>
        <v>514.27</v>
      </c>
      <c r="J80" s="58">
        <f t="shared" si="807"/>
        <v>1.2342479999999998</v>
      </c>
      <c r="K80" s="25">
        <f>285.71+57.14+571.43+114.29+285.72+57.14+285.72+57.14</f>
        <v>1714.2900000000002</v>
      </c>
      <c r="L80" s="58">
        <f t="shared" si="808"/>
        <v>4.1142960000000004</v>
      </c>
      <c r="M80" s="25">
        <v>1714.28</v>
      </c>
      <c r="N80" s="58">
        <f t="shared" si="809"/>
        <v>4.1142719999999997</v>
      </c>
      <c r="O80" s="64">
        <v>857.14</v>
      </c>
      <c r="P80" s="58">
        <f t="shared" si="790"/>
        <v>2.0571359999999999</v>
      </c>
      <c r="Q80" s="64">
        <v>0</v>
      </c>
      <c r="R80" s="58">
        <f t="shared" si="511"/>
        <v>0</v>
      </c>
      <c r="S80" s="64"/>
      <c r="T80" s="58">
        <f t="shared" si="512"/>
        <v>0</v>
      </c>
      <c r="U80" s="64"/>
      <c r="V80" s="58">
        <f t="shared" si="513"/>
        <v>0</v>
      </c>
      <c r="W80" s="64"/>
      <c r="X80" s="58">
        <f t="shared" si="569"/>
        <v>0</v>
      </c>
      <c r="Y80" s="25">
        <f t="shared" si="791"/>
        <v>4919.9800000000005</v>
      </c>
      <c r="Z80" s="58">
        <f t="shared" si="810"/>
        <v>0.98399600000000009</v>
      </c>
      <c r="AA80" s="25">
        <f t="shared" si="792"/>
        <v>546.66444444444448</v>
      </c>
      <c r="AB80" s="71">
        <v>780</v>
      </c>
      <c r="AD80" s="69"/>
      <c r="AE80" t="s">
        <v>150</v>
      </c>
      <c r="AG80" s="25">
        <v>171.42</v>
      </c>
      <c r="AH80" s="58">
        <f t="shared" si="765"/>
        <v>0.21976923076923074</v>
      </c>
      <c r="AI80" s="25">
        <v>970.77</v>
      </c>
      <c r="AJ80" s="58">
        <f t="shared" ref="AJ80" si="859">AI80/$AB80</f>
        <v>1.244576923076923</v>
      </c>
      <c r="AK80" s="25"/>
      <c r="AL80" s="58">
        <f t="shared" si="516"/>
        <v>0</v>
      </c>
      <c r="AM80" s="25">
        <f>1346.89-178.57</f>
        <v>1168.3200000000002</v>
      </c>
      <c r="AN80" s="58">
        <f t="shared" si="517"/>
        <v>1.497846153846154</v>
      </c>
      <c r="AO80" s="25"/>
      <c r="AP80" s="58">
        <f t="shared" si="518"/>
        <v>0</v>
      </c>
      <c r="AQ80" s="25"/>
      <c r="AR80" s="58">
        <f t="shared" si="519"/>
        <v>0</v>
      </c>
      <c r="AS80" s="25"/>
      <c r="AT80" s="58">
        <f t="shared" si="571"/>
        <v>0</v>
      </c>
      <c r="AU80" s="25"/>
      <c r="AV80" s="58">
        <f t="shared" si="572"/>
        <v>0</v>
      </c>
      <c r="AW80" s="25"/>
      <c r="AX80" s="58">
        <f t="shared" si="573"/>
        <v>0</v>
      </c>
      <c r="AY80" s="25"/>
      <c r="AZ80" s="58">
        <f t="shared" si="574"/>
        <v>0</v>
      </c>
      <c r="BA80" s="25">
        <f t="shared" si="794"/>
        <v>2310.5100000000002</v>
      </c>
      <c r="BB80" s="58">
        <f t="shared" si="795"/>
        <v>0.246849358974359</v>
      </c>
      <c r="BC80" s="25">
        <f t="shared" si="778"/>
        <v>256.72333333333336</v>
      </c>
      <c r="BD80" s="25">
        <f>AB80*BA1</f>
        <v>811.2</v>
      </c>
      <c r="BE80" s="25">
        <f t="shared" si="779"/>
        <v>9734.4000000000015</v>
      </c>
      <c r="BF80" s="129">
        <v>9500</v>
      </c>
      <c r="BG80" s="129">
        <f t="shared" si="753"/>
        <v>791.66666666666663</v>
      </c>
      <c r="BH80" s="25"/>
      <c r="BI80" s="58">
        <f t="shared" si="754"/>
        <v>0</v>
      </c>
      <c r="BJ80" s="25">
        <v>323.58999999999997</v>
      </c>
      <c r="BK80" s="58">
        <f t="shared" si="754"/>
        <v>0.40874526315789472</v>
      </c>
      <c r="BL80" s="25"/>
      <c r="BM80" s="58">
        <f t="shared" ref="BM80" si="860">BL80/$BG80</f>
        <v>0</v>
      </c>
      <c r="BN80" s="25"/>
      <c r="BO80" s="58">
        <f t="shared" ref="BO80" si="861">BN80/$BG80</f>
        <v>0</v>
      </c>
      <c r="BP80" s="25"/>
      <c r="BQ80" s="58">
        <f t="shared" ref="BQ80" si="862">BP80/$BG80</f>
        <v>0</v>
      </c>
      <c r="BR80" s="25"/>
      <c r="BS80" s="58">
        <f t="shared" ref="BS80" si="863">BR80/$BG80</f>
        <v>0</v>
      </c>
      <c r="BT80" s="25"/>
      <c r="BU80" s="58">
        <f t="shared" ref="BU80" si="864">BT80/$BG80</f>
        <v>0</v>
      </c>
      <c r="BV80" s="25"/>
      <c r="BW80" s="58">
        <f t="shared" ref="BW80" si="865">BV80/$BG80</f>
        <v>0</v>
      </c>
      <c r="BX80" s="25"/>
      <c r="BY80" s="58">
        <f t="shared" ref="BY80" si="866">BX80/$BG80</f>
        <v>0</v>
      </c>
      <c r="BZ80" s="71">
        <v>647.17999999999995</v>
      </c>
      <c r="CA80" s="58">
        <f t="shared" ref="CA80" si="867">BZ80/$BG80</f>
        <v>0.81749052631578945</v>
      </c>
      <c r="CB80" s="25"/>
      <c r="CC80" s="58">
        <f t="shared" ref="CC80" si="868">CB80/$BG80</f>
        <v>0</v>
      </c>
      <c r="CD80" s="25">
        <v>499.98</v>
      </c>
      <c r="CE80" s="58">
        <f t="shared" ref="CE80" si="869">CD80/$BG80</f>
        <v>0.63155368421052638</v>
      </c>
      <c r="CF80" s="25">
        <f t="shared" si="833"/>
        <v>1470.75</v>
      </c>
      <c r="CG80" s="58">
        <f t="shared" si="834"/>
        <v>0.15481578947368421</v>
      </c>
    </row>
    <row r="81" spans="1:85" ht="30" x14ac:dyDescent="0.25">
      <c r="A81" s="44" t="s">
        <v>233</v>
      </c>
      <c r="B81" s="25"/>
      <c r="C81" s="26"/>
      <c r="D81" s="26"/>
      <c r="E81" s="25"/>
      <c r="F81" s="25"/>
      <c r="G81" s="25"/>
      <c r="H81" s="58"/>
      <c r="I81" s="25"/>
      <c r="J81" s="58"/>
      <c r="K81" s="25"/>
      <c r="L81" s="58"/>
      <c r="M81" s="25">
        <v>463.33</v>
      </c>
      <c r="N81" s="58"/>
      <c r="O81" s="64">
        <v>10457.52</v>
      </c>
      <c r="P81" s="58" t="e">
        <f t="shared" si="790"/>
        <v>#DIV/0!</v>
      </c>
      <c r="Q81" s="64"/>
      <c r="R81" s="58" t="e">
        <f t="shared" si="511"/>
        <v>#DIV/0!</v>
      </c>
      <c r="S81" s="64">
        <v>9082.09</v>
      </c>
      <c r="T81" s="58" t="e">
        <f t="shared" si="512"/>
        <v>#DIV/0!</v>
      </c>
      <c r="U81" s="64">
        <v>8872.56</v>
      </c>
      <c r="V81" s="58" t="e">
        <f>#REF!/$F81</f>
        <v>#REF!</v>
      </c>
      <c r="W81" s="64">
        <v>8170</v>
      </c>
      <c r="X81" s="58" t="e">
        <f>#REF!/$F81</f>
        <v>#REF!</v>
      </c>
      <c r="Y81" s="25">
        <f t="shared" si="791"/>
        <v>37045.5</v>
      </c>
      <c r="Z81" s="58"/>
      <c r="AA81" s="25">
        <f t="shared" si="792"/>
        <v>4116.166666666667</v>
      </c>
      <c r="AB81" s="71">
        <v>12000</v>
      </c>
      <c r="AD81" s="69"/>
      <c r="AE81" t="s">
        <v>143</v>
      </c>
      <c r="AG81" s="25">
        <v>14273.28</v>
      </c>
      <c r="AH81" s="58">
        <f t="shared" si="765"/>
        <v>1.1894400000000001</v>
      </c>
      <c r="AI81" s="25">
        <f>1165.2+9355.94</f>
        <v>10521.140000000001</v>
      </c>
      <c r="AJ81" s="58">
        <f t="shared" ref="AJ81" si="870">AI81/$AB81</f>
        <v>0.87676166666666677</v>
      </c>
      <c r="AK81" s="25"/>
      <c r="AL81" s="58">
        <f t="shared" si="516"/>
        <v>0</v>
      </c>
      <c r="AM81" s="25">
        <v>10328.86</v>
      </c>
      <c r="AN81" s="58">
        <f t="shared" si="517"/>
        <v>0.86073833333333338</v>
      </c>
      <c r="AO81" s="25">
        <v>8995</v>
      </c>
      <c r="AP81" s="58">
        <f t="shared" si="518"/>
        <v>0.74958333333333338</v>
      </c>
      <c r="AQ81" s="25">
        <v>1699.14</v>
      </c>
      <c r="AR81" s="58">
        <f t="shared" si="519"/>
        <v>0.141595</v>
      </c>
      <c r="AS81" s="25">
        <v>1656.62</v>
      </c>
      <c r="AT81" s="58">
        <f t="shared" si="571"/>
        <v>0.13805166666666666</v>
      </c>
      <c r="AU81" s="25">
        <v>1716.74</v>
      </c>
      <c r="AV81" s="58">
        <f t="shared" si="572"/>
        <v>0.14306166666666667</v>
      </c>
      <c r="AW81" s="25">
        <v>2990</v>
      </c>
      <c r="AX81" s="58">
        <f t="shared" si="573"/>
        <v>0.24916666666666668</v>
      </c>
      <c r="AY81" s="25">
        <v>2990</v>
      </c>
      <c r="AZ81" s="58">
        <f t="shared" si="574"/>
        <v>0.24916666666666668</v>
      </c>
      <c r="BA81" s="25">
        <f t="shared" si="794"/>
        <v>55170.78</v>
      </c>
      <c r="BB81" s="58">
        <f t="shared" si="795"/>
        <v>0.38313041666666664</v>
      </c>
      <c r="BC81" s="25">
        <f t="shared" si="778"/>
        <v>6130.0866666666661</v>
      </c>
      <c r="BD81" s="25">
        <v>9500</v>
      </c>
      <c r="BE81" s="25">
        <f t="shared" si="779"/>
        <v>114000</v>
      </c>
      <c r="BF81" s="129">
        <v>114000</v>
      </c>
      <c r="BG81" s="129">
        <f t="shared" si="753"/>
        <v>9500</v>
      </c>
      <c r="BH81" s="25">
        <f>7773.8</f>
        <v>7773.8</v>
      </c>
      <c r="BI81" s="58">
        <f t="shared" si="754"/>
        <v>0.8182947368421053</v>
      </c>
      <c r="BJ81" s="25">
        <f>8405.88</f>
        <v>8405.8799999999992</v>
      </c>
      <c r="BK81" s="58">
        <f t="shared" si="754"/>
        <v>0.88482947368421039</v>
      </c>
      <c r="BL81" s="25">
        <f>8072.34+5675</f>
        <v>13747.34</v>
      </c>
      <c r="BM81" s="58">
        <f t="shared" ref="BM81" si="871">BL81/$BG81</f>
        <v>1.4470884210526316</v>
      </c>
      <c r="BN81" s="25">
        <v>8072.34</v>
      </c>
      <c r="BO81" s="58">
        <f t="shared" ref="BO81" si="872">BN81/$BG81</f>
        <v>0.84972000000000003</v>
      </c>
      <c r="BP81" s="25">
        <v>8072.34</v>
      </c>
      <c r="BQ81" s="58">
        <f t="shared" ref="BQ81" si="873">BP81/$BG81</f>
        <v>0.84972000000000003</v>
      </c>
      <c r="BR81" s="25">
        <v>27357.06</v>
      </c>
      <c r="BS81" s="58">
        <f t="shared" ref="BS81" si="874">BR81/$BG81</f>
        <v>2.8796905263157897</v>
      </c>
      <c r="BT81" s="25">
        <f>35533.29-7512.52</f>
        <v>28020.77</v>
      </c>
      <c r="BU81" s="58">
        <f t="shared" ref="BU81" si="875">BT81/$BG81</f>
        <v>2.9495547368421051</v>
      </c>
      <c r="BV81" s="25">
        <f>27357.06</f>
        <v>27357.06</v>
      </c>
      <c r="BW81" s="58">
        <f t="shared" ref="BW81" si="876">BV81/$BG81</f>
        <v>2.8796905263157897</v>
      </c>
      <c r="BX81" s="25">
        <f>8149.84</f>
        <v>8149.84</v>
      </c>
      <c r="BY81" s="58">
        <f t="shared" ref="BY81" si="877">BX81/$BG81</f>
        <v>0.85787789473684217</v>
      </c>
      <c r="BZ81" s="71">
        <v>27419.850000000002</v>
      </c>
      <c r="CA81" s="58">
        <f t="shared" ref="CA81" si="878">BZ81/$BG81</f>
        <v>2.8863000000000003</v>
      </c>
      <c r="CB81" s="25">
        <f>28217.06</f>
        <v>28217.06</v>
      </c>
      <c r="CC81" s="58">
        <f t="shared" ref="CC81" si="879">CB81/$BG81</f>
        <v>2.9702168421052635</v>
      </c>
      <c r="CD81" s="25">
        <f>47631.78-19284.72</f>
        <v>28347.059999999998</v>
      </c>
      <c r="CE81" s="58">
        <f t="shared" ref="CE81" si="880">CD81/$BG81</f>
        <v>2.9839010526315786</v>
      </c>
      <c r="CF81" s="25">
        <f t="shared" si="833"/>
        <v>220940.4</v>
      </c>
      <c r="CG81" s="58">
        <f t="shared" si="834"/>
        <v>1.9380736842105262</v>
      </c>
    </row>
    <row r="82" spans="1:85" ht="30" x14ac:dyDescent="0.25">
      <c r="A82" s="44" t="s">
        <v>58</v>
      </c>
      <c r="B82" s="25">
        <v>43647.883949999996</v>
      </c>
      <c r="C82" s="26">
        <v>26423.159999999996</v>
      </c>
      <c r="D82" s="26">
        <v>35230.879999999997</v>
      </c>
      <c r="E82" s="25">
        <v>36992.423999999999</v>
      </c>
      <c r="F82" s="25">
        <f t="shared" si="290"/>
        <v>3082.7019999999998</v>
      </c>
      <c r="G82" s="25">
        <f>3430.1+422</f>
        <v>3852.1</v>
      </c>
      <c r="H82" s="58">
        <f t="shared" si="806"/>
        <v>1.2495855908225966</v>
      </c>
      <c r="I82" s="25">
        <f>1467.68+1867+500</f>
        <v>3834.6800000000003</v>
      </c>
      <c r="J82" s="58">
        <f t="shared" si="807"/>
        <v>1.2439347040356157</v>
      </c>
      <c r="K82" s="25">
        <f>1544.89+672.03</f>
        <v>2216.92</v>
      </c>
      <c r="L82" s="58">
        <f t="shared" si="808"/>
        <v>0.7191483315610786</v>
      </c>
      <c r="M82" s="25">
        <f>453+3100</f>
        <v>3553</v>
      </c>
      <c r="N82" s="58">
        <f t="shared" si="809"/>
        <v>1.152560318837176</v>
      </c>
      <c r="O82" s="64">
        <f>4105.66+624.42</f>
        <v>4730.08</v>
      </c>
      <c r="P82" s="58">
        <f t="shared" si="790"/>
        <v>1.5343941775753869</v>
      </c>
      <c r="Q82" s="64">
        <f>1442.46+453</f>
        <v>1895.46</v>
      </c>
      <c r="R82" s="58">
        <f t="shared" si="511"/>
        <v>0.61486968250580176</v>
      </c>
      <c r="S82" s="64">
        <f>1953.21-90.67+1163</f>
        <v>3025.54</v>
      </c>
      <c r="T82" s="58">
        <f t="shared" si="512"/>
        <v>0.98145717620451156</v>
      </c>
      <c r="U82" s="64">
        <f>2657.46+2723</f>
        <v>5380.46</v>
      </c>
      <c r="V82" s="58">
        <f t="shared" si="513"/>
        <v>1.7453714306475294</v>
      </c>
      <c r="W82" s="64">
        <f>1719.39+2613</f>
        <v>4332.3900000000003</v>
      </c>
      <c r="X82" s="58">
        <f t="shared" ref="X82:X152" si="881">W82/$F82</f>
        <v>1.4053872219890216</v>
      </c>
      <c r="Y82" s="25">
        <f t="shared" si="791"/>
        <v>32820.629999999997</v>
      </c>
      <c r="Z82" s="58">
        <f t="shared" si="810"/>
        <v>0.88722571951489304</v>
      </c>
      <c r="AA82" s="25">
        <f t="shared" si="792"/>
        <v>3646.7366666666662</v>
      </c>
      <c r="AB82" s="71">
        <f>AA82*$AC$7</f>
        <v>3792.6061333333332</v>
      </c>
      <c r="AD82" s="69">
        <f t="shared" si="847"/>
        <v>1.04</v>
      </c>
      <c r="AG82" s="25">
        <f>5803+2833.46</f>
        <v>8636.4599999999991</v>
      </c>
      <c r="AH82" s="58">
        <f t="shared" si="765"/>
        <v>2.2771834713058876</v>
      </c>
      <c r="AI82" s="25"/>
      <c r="AJ82" s="58">
        <f t="shared" ref="AJ82" si="882">AI82/$AB82</f>
        <v>0</v>
      </c>
      <c r="AK82" s="25"/>
      <c r="AL82" s="58">
        <f t="shared" si="516"/>
        <v>0</v>
      </c>
      <c r="AM82" s="25">
        <f>11642.46-10328.86+15591.46</f>
        <v>16905.059999999998</v>
      </c>
      <c r="AN82" s="58">
        <f t="shared" si="517"/>
        <v>4.4573729529731283</v>
      </c>
      <c r="AO82" s="25">
        <f>2908.3+3774.63-770+112.2</f>
        <v>6025.13</v>
      </c>
      <c r="AP82" s="58">
        <f t="shared" si="518"/>
        <v>1.588651652235898</v>
      </c>
      <c r="AQ82" s="25">
        <f>1313.6+4498.15</f>
        <v>5811.75</v>
      </c>
      <c r="AR82" s="58">
        <f t="shared" si="519"/>
        <v>1.5323895484216905</v>
      </c>
      <c r="AS82" s="25">
        <f>1313.6+2283.65</f>
        <v>3597.25</v>
      </c>
      <c r="AT82" s="58">
        <f t="shared" si="571"/>
        <v>0.9484902659370974</v>
      </c>
      <c r="AU82" s="25">
        <f>2753.6+5249.68</f>
        <v>8003.2800000000007</v>
      </c>
      <c r="AV82" s="58">
        <f t="shared" si="572"/>
        <v>2.1102323095612077</v>
      </c>
      <c r="AW82" s="25">
        <f>1313.8+3251.51+1411.2</f>
        <v>5976.51</v>
      </c>
      <c r="AX82" s="58">
        <f t="shared" si="573"/>
        <v>1.5758319714436646</v>
      </c>
      <c r="AY82" s="25">
        <f>4804.9+1574.08</f>
        <v>6378.98</v>
      </c>
      <c r="AZ82" s="58">
        <f t="shared" si="574"/>
        <v>1.681951612094635</v>
      </c>
      <c r="BA82" s="25">
        <f t="shared" si="794"/>
        <v>61334.42</v>
      </c>
      <c r="BB82" s="58">
        <f t="shared" si="795"/>
        <v>1.3476753153311007</v>
      </c>
      <c r="BC82" s="25">
        <f t="shared" si="778"/>
        <v>6814.9355555555558</v>
      </c>
      <c r="BD82" s="25">
        <f>BC82</f>
        <v>6814.9355555555558</v>
      </c>
      <c r="BE82" s="25">
        <f t="shared" si="779"/>
        <v>81779.226666666669</v>
      </c>
      <c r="BF82" s="129">
        <v>50000</v>
      </c>
      <c r="BG82" s="129">
        <f t="shared" si="753"/>
        <v>4166.666666666667</v>
      </c>
      <c r="BH82" s="25">
        <f>2239.79+2093.41</f>
        <v>4333.2</v>
      </c>
      <c r="BI82" s="58">
        <f t="shared" si="754"/>
        <v>1.0399679999999998</v>
      </c>
      <c r="BJ82" s="25">
        <f>2009.58+2086.23</f>
        <v>4095.81</v>
      </c>
      <c r="BK82" s="58">
        <f t="shared" si="754"/>
        <v>0.98299439999999993</v>
      </c>
      <c r="BL82" s="25">
        <f>8267.78+6386.8</f>
        <v>14654.580000000002</v>
      </c>
      <c r="BM82" s="58">
        <f t="shared" ref="BM82" si="883">BL82/$BG82</f>
        <v>3.5170992000000001</v>
      </c>
      <c r="BN82" s="25">
        <f>2362.7+2947.33</f>
        <v>5310.03</v>
      </c>
      <c r="BO82" s="58">
        <f t="shared" ref="BO82" si="884">BN82/$BG82</f>
        <v>1.2744071999999997</v>
      </c>
      <c r="BP82" s="25">
        <f>2789.63</f>
        <v>2789.63</v>
      </c>
      <c r="BQ82" s="58">
        <f t="shared" ref="BQ82" si="885">BP82/$BG82</f>
        <v>0.66951119999999997</v>
      </c>
      <c r="BR82" s="25">
        <f>5572.14+4251.13</f>
        <v>9823.27</v>
      </c>
      <c r="BS82" s="58">
        <f t="shared" ref="BS82" si="886">BR82/$BG82</f>
        <v>2.3575848000000001</v>
      </c>
      <c r="BT82" s="25">
        <f>2115.88+2507.99</f>
        <v>4623.87</v>
      </c>
      <c r="BU82" s="58">
        <f t="shared" ref="BU82" si="887">BT82/$BG82</f>
        <v>1.1097287999999998</v>
      </c>
      <c r="BV82" s="25">
        <f>9829.59+8403.37</f>
        <v>18232.96</v>
      </c>
      <c r="BW82" s="58">
        <f t="shared" ref="BW82" si="888">BV82/$BG82</f>
        <v>4.3759103999999995</v>
      </c>
      <c r="BX82" s="25"/>
      <c r="BY82" s="58">
        <f t="shared" ref="BY82" si="889">BX82/$BG82</f>
        <v>0</v>
      </c>
      <c r="BZ82" s="71">
        <v>8027.4400000000005</v>
      </c>
      <c r="CA82" s="58">
        <f t="shared" ref="CA82" si="890">BZ82/$BG82</f>
        <v>1.9265855999999999</v>
      </c>
      <c r="CB82" s="25">
        <f>3438.02-647.18+4378.84</f>
        <v>7169.68</v>
      </c>
      <c r="CC82" s="58">
        <f t="shared" ref="CC82" si="891">CB82/$BG82</f>
        <v>1.7207231999999999</v>
      </c>
      <c r="CD82" s="25">
        <f>4064.4-193.01-499.98+4026.52-2926</f>
        <v>4471.93</v>
      </c>
      <c r="CE82" s="58">
        <f t="shared" ref="CE82" si="892">CD82/$BG82</f>
        <v>1.0732632</v>
      </c>
      <c r="CF82" s="25">
        <f t="shared" si="833"/>
        <v>83532.399999999994</v>
      </c>
      <c r="CG82" s="58">
        <f t="shared" si="834"/>
        <v>1.6706479999999999</v>
      </c>
    </row>
    <row r="83" spans="1:85" ht="15.75" x14ac:dyDescent="0.25">
      <c r="A83" s="41" t="s">
        <v>59</v>
      </c>
      <c r="B83" s="42">
        <v>61202.983749999999</v>
      </c>
      <c r="C83" s="43">
        <v>47328.04</v>
      </c>
      <c r="D83" s="43">
        <v>65328.72</v>
      </c>
      <c r="E83" s="43">
        <v>68620.914000000004</v>
      </c>
      <c r="F83" s="43">
        <f t="shared" si="290"/>
        <v>5718.4095000000007</v>
      </c>
      <c r="G83" s="43">
        <f>SUM(G84:G91)</f>
        <v>3520.49</v>
      </c>
      <c r="H83" s="60">
        <f t="shared" si="806"/>
        <v>0.61564146464152303</v>
      </c>
      <c r="I83" s="43">
        <f>SUM(I84:I91)</f>
        <v>3374.5699999999997</v>
      </c>
      <c r="J83" s="60">
        <f t="shared" si="807"/>
        <v>0.59012387972564739</v>
      </c>
      <c r="K83" s="43">
        <f>SUM(K84:K91)</f>
        <v>6583.6599999999989</v>
      </c>
      <c r="L83" s="60">
        <f t="shared" si="808"/>
        <v>1.1513096430047547</v>
      </c>
      <c r="M83" s="43">
        <f>SUM(M84:M91)</f>
        <v>5875.45</v>
      </c>
      <c r="N83" s="60">
        <f t="shared" si="809"/>
        <v>1.0274622690102901</v>
      </c>
      <c r="O83" s="66">
        <f>SUM(O84:O91)</f>
        <v>3652.3900000000003</v>
      </c>
      <c r="P83" s="60">
        <f t="shared" si="790"/>
        <v>0.63870731887948906</v>
      </c>
      <c r="Q83" s="66">
        <f>SUM(Q84:Q91)</f>
        <v>9254.4</v>
      </c>
      <c r="R83" s="60">
        <f t="shared" si="511"/>
        <v>1.6183520959805342</v>
      </c>
      <c r="S83" s="66">
        <f>SUM(S84:S91)</f>
        <v>4654.68</v>
      </c>
      <c r="T83" s="60">
        <f t="shared" si="512"/>
        <v>0.81398158001801024</v>
      </c>
      <c r="U83" s="66">
        <f>SUM(U84:U91)</f>
        <v>2605.3200000000002</v>
      </c>
      <c r="V83" s="60">
        <f t="shared" si="513"/>
        <v>0.45560220897086856</v>
      </c>
      <c r="W83" s="66">
        <f>SUM(W84:W91)</f>
        <v>1746.4</v>
      </c>
      <c r="X83" s="60">
        <f t="shared" si="881"/>
        <v>0.30539960455787574</v>
      </c>
      <c r="Y83" s="43">
        <f t="shared" si="791"/>
        <v>41267.360000000001</v>
      </c>
      <c r="Z83" s="60">
        <f t="shared" si="810"/>
        <v>0.60138167206574944</v>
      </c>
      <c r="AA83" s="43">
        <f t="shared" si="792"/>
        <v>4585.2622222222226</v>
      </c>
      <c r="AB83" s="43">
        <f>SUM(AB84:AB91)</f>
        <v>3561.4104888888892</v>
      </c>
      <c r="AD83" s="69">
        <f t="shared" si="847"/>
        <v>0.77670813931397598</v>
      </c>
      <c r="AG83" s="43">
        <f>SUM(AG84:AG91)</f>
        <v>2323.94</v>
      </c>
      <c r="AH83" s="60">
        <f t="shared" si="765"/>
        <v>0.65253359792429799</v>
      </c>
      <c r="AI83" s="43">
        <f>SUM(AI84:AI91)</f>
        <v>2931.98</v>
      </c>
      <c r="AJ83" s="60">
        <f t="shared" ref="AJ83" si="893">AI83/$AB83</f>
        <v>0.82326370665425241</v>
      </c>
      <c r="AK83" s="43">
        <f>SUM(AK84:AK91)</f>
        <v>0</v>
      </c>
      <c r="AL83" s="60">
        <f t="shared" si="516"/>
        <v>0</v>
      </c>
      <c r="AM83" s="43">
        <f>SUM(AM84:AM91)</f>
        <v>1997.1</v>
      </c>
      <c r="AN83" s="60">
        <f t="shared" si="517"/>
        <v>0.56076096991084778</v>
      </c>
      <c r="AO83" s="43">
        <f>SUM(AO84:AO91)</f>
        <v>1297.99</v>
      </c>
      <c r="AP83" s="60">
        <f t="shared" si="518"/>
        <v>0.3644595319886742</v>
      </c>
      <c r="AQ83" s="43">
        <f>SUM(AQ84:AQ91)</f>
        <v>1494.47</v>
      </c>
      <c r="AR83" s="60">
        <f t="shared" si="519"/>
        <v>0.41962868494450184</v>
      </c>
      <c r="AS83" s="43">
        <f>SUM(AS84:AS91)</f>
        <v>1663.3899999999999</v>
      </c>
      <c r="AT83" s="60">
        <f t="shared" si="571"/>
        <v>0.46705933089980722</v>
      </c>
      <c r="AU83" s="43">
        <f>SUM(AU84:AU91)</f>
        <v>1478.48</v>
      </c>
      <c r="AV83" s="60">
        <f t="shared" si="572"/>
        <v>0.41513889078853849</v>
      </c>
      <c r="AW83" s="43">
        <f>SUM(AW84:AW91)</f>
        <v>3147.84</v>
      </c>
      <c r="AX83" s="60">
        <f t="shared" si="573"/>
        <v>0.8838745238216229</v>
      </c>
      <c r="AY83" s="43">
        <f>SUM(AY84:AY91)</f>
        <v>1883.44</v>
      </c>
      <c r="AZ83" s="60">
        <f t="shared" si="574"/>
        <v>0.52884664822436889</v>
      </c>
      <c r="BA83" s="43">
        <f t="shared" si="794"/>
        <v>18218.629999999997</v>
      </c>
      <c r="BB83" s="60">
        <f t="shared" si="795"/>
        <v>0.42629715709640925</v>
      </c>
      <c r="BC83" s="43">
        <f t="shared" si="778"/>
        <v>2024.2922222222219</v>
      </c>
      <c r="BD83" s="43">
        <f>SUM(BD84:BD91)</f>
        <v>3883.3243306666673</v>
      </c>
      <c r="BE83" s="43">
        <f t="shared" si="779"/>
        <v>46599.891968000011</v>
      </c>
      <c r="BF83" s="136">
        <f>SUM(BF84:BF91)</f>
        <v>46600</v>
      </c>
      <c r="BG83" s="136">
        <f t="shared" si="753"/>
        <v>3883.3333333333335</v>
      </c>
      <c r="BH83" s="43">
        <f>SUM(BH84:BH91)</f>
        <v>2429.1</v>
      </c>
      <c r="BI83" s="60">
        <f t="shared" si="754"/>
        <v>0.62551931330472099</v>
      </c>
      <c r="BJ83" s="43">
        <f>SUM(BJ84:BJ91)</f>
        <v>2838.19</v>
      </c>
      <c r="BK83" s="60">
        <f t="shared" si="754"/>
        <v>0.73086437768240342</v>
      </c>
      <c r="BL83" s="43">
        <f>SUM(BL84:BL91)</f>
        <v>3746.17</v>
      </c>
      <c r="BM83" s="60">
        <f t="shared" ref="BM83" si="894">BL83/$BG83</f>
        <v>0.96467896995708158</v>
      </c>
      <c r="BN83" s="43">
        <f>SUM(BN84:BN91)</f>
        <v>1660.1100000000001</v>
      </c>
      <c r="BO83" s="60">
        <f t="shared" ref="BO83" si="895">BN83/$BG83</f>
        <v>0.42749613733905584</v>
      </c>
      <c r="BP83" s="43">
        <f>SUM(BP84:BP91)</f>
        <v>5574.57</v>
      </c>
      <c r="BQ83" s="60">
        <f t="shared" ref="BQ83" si="896">BP83/$BG83</f>
        <v>1.4355115879828324</v>
      </c>
      <c r="BR83" s="43">
        <f>SUM(BR84:BR91)</f>
        <v>3777.5299999999997</v>
      </c>
      <c r="BS83" s="60">
        <f t="shared" ref="BS83" si="897">BR83/$BG83</f>
        <v>0.97275450643776817</v>
      </c>
      <c r="BT83" s="43">
        <f>SUM(BT84:BT91)</f>
        <v>3183.26</v>
      </c>
      <c r="BU83" s="60">
        <f t="shared" ref="BU83" si="898">BT83/$BG83</f>
        <v>0.81972360515021458</v>
      </c>
      <c r="BV83" s="43">
        <f>SUM(BV84:BV91)</f>
        <v>7832.2800000000007</v>
      </c>
      <c r="BW83" s="60">
        <f t="shared" ref="BW83" si="899">BV83/$BG83</f>
        <v>2.0168961373390557</v>
      </c>
      <c r="BX83" s="43">
        <f>SUM(BX84:BX91)</f>
        <v>8981.93</v>
      </c>
      <c r="BY83" s="60">
        <f t="shared" ref="BY83" si="900">BX83/$BG83</f>
        <v>2.3129433476394849</v>
      </c>
      <c r="BZ83" s="43">
        <v>2838.33</v>
      </c>
      <c r="CA83" s="60">
        <f t="shared" ref="CA83" si="901">BZ83/$BG83</f>
        <v>0.73090042918454934</v>
      </c>
      <c r="CB83" s="43">
        <f>SUM(CB84:CB91)</f>
        <v>20899.8</v>
      </c>
      <c r="CC83" s="60">
        <f t="shared" ref="CC83" si="902">CB83/$BG83</f>
        <v>5.3819227467811155</v>
      </c>
      <c r="CD83" s="43">
        <f>SUM(CD84:CD91)</f>
        <v>8023</v>
      </c>
      <c r="CE83" s="60">
        <f t="shared" ref="CE83" si="903">CD83/$BG83</f>
        <v>2.0660085836909872</v>
      </c>
      <c r="CF83" s="43">
        <f>SUM(CF84:CF91)</f>
        <v>71784.26999999999</v>
      </c>
      <c r="CG83" s="60">
        <f t="shared" si="834"/>
        <v>1.5404349785407723</v>
      </c>
    </row>
    <row r="84" spans="1:85" ht="15.75" x14ac:dyDescent="0.25">
      <c r="A84" s="46" t="s">
        <v>131</v>
      </c>
      <c r="B84" s="25">
        <v>2482.9199999999996</v>
      </c>
      <c r="C84" s="26"/>
      <c r="D84" s="26">
        <v>1000</v>
      </c>
      <c r="E84" s="25">
        <v>1050</v>
      </c>
      <c r="F84" s="25">
        <f t="shared" si="290"/>
        <v>87.5</v>
      </c>
      <c r="G84" s="25"/>
      <c r="H84" s="58">
        <f t="shared" si="806"/>
        <v>0</v>
      </c>
      <c r="I84" s="25"/>
      <c r="J84" s="58">
        <f t="shared" si="807"/>
        <v>0</v>
      </c>
      <c r="K84" s="25">
        <v>137.1</v>
      </c>
      <c r="L84" s="58">
        <f t="shared" si="808"/>
        <v>1.5668571428571427</v>
      </c>
      <c r="M84" s="25"/>
      <c r="N84" s="58">
        <f t="shared" si="809"/>
        <v>0</v>
      </c>
      <c r="O84" s="64"/>
      <c r="P84" s="58">
        <f t="shared" si="790"/>
        <v>0</v>
      </c>
      <c r="Q84" s="64">
        <v>275</v>
      </c>
      <c r="R84" s="58">
        <f t="shared" si="511"/>
        <v>3.1428571428571428</v>
      </c>
      <c r="S84" s="64"/>
      <c r="T84" s="58">
        <f t="shared" si="512"/>
        <v>0</v>
      </c>
      <c r="U84" s="64"/>
      <c r="V84" s="58">
        <f t="shared" si="513"/>
        <v>0</v>
      </c>
      <c r="W84" s="64"/>
      <c r="X84" s="58">
        <f t="shared" si="881"/>
        <v>0</v>
      </c>
      <c r="Y84" s="25">
        <f t="shared" si="791"/>
        <v>412.1</v>
      </c>
      <c r="Z84" s="58">
        <f t="shared" si="810"/>
        <v>0.39247619047619048</v>
      </c>
      <c r="AA84" s="25">
        <f t="shared" si="792"/>
        <v>45.788888888888891</v>
      </c>
      <c r="AB84" s="71">
        <f>AA84*$AC$7</f>
        <v>47.620444444444452</v>
      </c>
      <c r="AD84" s="69">
        <f t="shared" si="847"/>
        <v>1.04</v>
      </c>
      <c r="AG84" s="25"/>
      <c r="AH84" s="58">
        <f t="shared" si="765"/>
        <v>0</v>
      </c>
      <c r="AI84" s="25">
        <v>38</v>
      </c>
      <c r="AJ84" s="58">
        <f t="shared" ref="AJ84" si="904">AI84/$AB84</f>
        <v>0.79797659268661436</v>
      </c>
      <c r="AK84" s="25"/>
      <c r="AL84" s="58">
        <f t="shared" si="516"/>
        <v>0</v>
      </c>
      <c r="AM84" s="25"/>
      <c r="AN84" s="58">
        <f t="shared" si="517"/>
        <v>0</v>
      </c>
      <c r="AO84" s="25"/>
      <c r="AP84" s="58">
        <f t="shared" si="518"/>
        <v>0</v>
      </c>
      <c r="AQ84" s="25"/>
      <c r="AR84" s="58">
        <f t="shared" si="519"/>
        <v>0</v>
      </c>
      <c r="AS84" s="25"/>
      <c r="AT84" s="58">
        <f t="shared" si="571"/>
        <v>0</v>
      </c>
      <c r="AU84" s="25"/>
      <c r="AV84" s="58">
        <f t="shared" si="572"/>
        <v>0</v>
      </c>
      <c r="AW84" s="25"/>
      <c r="AX84" s="58">
        <f t="shared" si="573"/>
        <v>0</v>
      </c>
      <c r="AY84" s="25"/>
      <c r="AZ84" s="58">
        <f t="shared" si="574"/>
        <v>0</v>
      </c>
      <c r="BA84" s="25">
        <f t="shared" si="794"/>
        <v>38</v>
      </c>
      <c r="BB84" s="58">
        <f t="shared" si="795"/>
        <v>6.6498049390551192E-2</v>
      </c>
      <c r="BC84" s="25">
        <f t="shared" si="778"/>
        <v>4.2222222222222223</v>
      </c>
      <c r="BD84" s="25">
        <f>AB84*BA1</f>
        <v>49.525262222222231</v>
      </c>
      <c r="BE84" s="25">
        <f t="shared" si="779"/>
        <v>594.30314666666675</v>
      </c>
      <c r="BF84" s="129">
        <v>600</v>
      </c>
      <c r="BG84" s="129">
        <f t="shared" si="753"/>
        <v>50</v>
      </c>
      <c r="BH84" s="25"/>
      <c r="BI84" s="58">
        <f t="shared" si="754"/>
        <v>0</v>
      </c>
      <c r="BJ84" s="25"/>
      <c r="BK84" s="58">
        <f t="shared" si="754"/>
        <v>0</v>
      </c>
      <c r="BL84" s="25"/>
      <c r="BM84" s="58">
        <f t="shared" ref="BM84" si="905">BL84/$BG84</f>
        <v>0</v>
      </c>
      <c r="BN84" s="25"/>
      <c r="BO84" s="58">
        <f t="shared" ref="BO84" si="906">BN84/$BG84</f>
        <v>0</v>
      </c>
      <c r="BP84" s="25"/>
      <c r="BQ84" s="58">
        <f t="shared" ref="BQ84" si="907">BP84/$BG84</f>
        <v>0</v>
      </c>
      <c r="BR84" s="25"/>
      <c r="BS84" s="58">
        <f t="shared" ref="BS84" si="908">BR84/$BG84</f>
        <v>0</v>
      </c>
      <c r="BT84" s="25"/>
      <c r="BU84" s="58">
        <f t="shared" ref="BU84" si="909">BT84/$BG84</f>
        <v>0</v>
      </c>
      <c r="BV84" s="25"/>
      <c r="BW84" s="58">
        <f t="shared" ref="BW84" si="910">BV84/$BG84</f>
        <v>0</v>
      </c>
      <c r="BX84" s="25"/>
      <c r="BY84" s="58">
        <f t="shared" ref="BY84" si="911">BX84/$BG84</f>
        <v>0</v>
      </c>
      <c r="BZ84" s="25">
        <v>193.18</v>
      </c>
      <c r="CA84" s="58">
        <f t="shared" ref="CA84" si="912">BZ84/$BG84</f>
        <v>3.8635999999999999</v>
      </c>
      <c r="CB84" s="25"/>
      <c r="CC84" s="58">
        <f t="shared" ref="CC84" si="913">CB84/$BG84</f>
        <v>0</v>
      </c>
      <c r="CD84" s="25"/>
      <c r="CE84" s="58">
        <f t="shared" ref="CE84" si="914">CD84/$BG84</f>
        <v>0</v>
      </c>
      <c r="CF84" s="25">
        <f t="shared" ref="CF84:CF91" si="915">BH84+BJ84+BL84+BN84+BP84+BR84+BT84+BV84+BX84+BZ84+CB84+CD84</f>
        <v>193.18</v>
      </c>
      <c r="CG84" s="58">
        <f t="shared" si="834"/>
        <v>0.32196666666666668</v>
      </c>
    </row>
    <row r="85" spans="1:85" ht="15.75" x14ac:dyDescent="0.25">
      <c r="A85" s="44" t="s">
        <v>60</v>
      </c>
      <c r="B85" s="25">
        <v>12000</v>
      </c>
      <c r="C85" s="26">
        <v>1800</v>
      </c>
      <c r="D85" s="26">
        <v>1800</v>
      </c>
      <c r="E85" s="25">
        <v>15000</v>
      </c>
      <c r="F85" s="25">
        <f t="shared" si="290"/>
        <v>1250</v>
      </c>
      <c r="G85" s="25"/>
      <c r="H85" s="58">
        <f t="shared" si="806"/>
        <v>0</v>
      </c>
      <c r="I85" s="25"/>
      <c r="J85" s="58">
        <f t="shared" si="807"/>
        <v>0</v>
      </c>
      <c r="K85" s="25">
        <v>1075</v>
      </c>
      <c r="L85" s="58">
        <f t="shared" si="808"/>
        <v>0.86</v>
      </c>
      <c r="M85" s="25"/>
      <c r="N85" s="58">
        <f t="shared" si="809"/>
        <v>0</v>
      </c>
      <c r="O85" s="64"/>
      <c r="P85" s="58">
        <f t="shared" si="790"/>
        <v>0</v>
      </c>
      <c r="Q85" s="64"/>
      <c r="R85" s="58">
        <f t="shared" si="511"/>
        <v>0</v>
      </c>
      <c r="S85" s="64"/>
      <c r="T85" s="58">
        <f t="shared" si="512"/>
        <v>0</v>
      </c>
      <c r="U85" s="64"/>
      <c r="V85" s="58">
        <f t="shared" si="513"/>
        <v>0</v>
      </c>
      <c r="W85" s="64"/>
      <c r="X85" s="58">
        <f t="shared" si="881"/>
        <v>0</v>
      </c>
      <c r="Y85" s="25">
        <f t="shared" si="791"/>
        <v>1075</v>
      </c>
      <c r="Z85" s="58">
        <f t="shared" si="810"/>
        <v>7.166666666666667E-2</v>
      </c>
      <c r="AA85" s="25">
        <f t="shared" si="792"/>
        <v>119.44444444444444</v>
      </c>
      <c r="AB85" s="71">
        <f t="shared" ref="AB85:AB90" si="916">AA85*$AC$7</f>
        <v>124.22222222222223</v>
      </c>
      <c r="AD85" s="69">
        <f t="shared" si="847"/>
        <v>1.04</v>
      </c>
      <c r="AG85" s="25"/>
      <c r="AH85" s="58">
        <f t="shared" si="765"/>
        <v>0</v>
      </c>
      <c r="AI85" s="25"/>
      <c r="AJ85" s="58">
        <f t="shared" ref="AJ85" si="917">AI85/$AB85</f>
        <v>0</v>
      </c>
      <c r="AK85" s="25"/>
      <c r="AL85" s="58">
        <f t="shared" si="516"/>
        <v>0</v>
      </c>
      <c r="AM85" s="25"/>
      <c r="AN85" s="58">
        <f t="shared" si="517"/>
        <v>0</v>
      </c>
      <c r="AO85" s="25"/>
      <c r="AP85" s="58">
        <f t="shared" si="518"/>
        <v>0</v>
      </c>
      <c r="AQ85" s="25"/>
      <c r="AR85" s="58">
        <f t="shared" si="519"/>
        <v>0</v>
      </c>
      <c r="AS85" s="25"/>
      <c r="AT85" s="58">
        <f t="shared" si="571"/>
        <v>0</v>
      </c>
      <c r="AU85" s="25"/>
      <c r="AV85" s="58">
        <f t="shared" si="572"/>
        <v>0</v>
      </c>
      <c r="AW85" s="25"/>
      <c r="AX85" s="58">
        <f t="shared" si="573"/>
        <v>0</v>
      </c>
      <c r="AY85" s="25"/>
      <c r="AZ85" s="58">
        <f t="shared" si="574"/>
        <v>0</v>
      </c>
      <c r="BA85" s="25">
        <f t="shared" si="794"/>
        <v>0</v>
      </c>
      <c r="BB85" s="58">
        <f t="shared" si="795"/>
        <v>0</v>
      </c>
      <c r="BC85" s="25">
        <f t="shared" si="778"/>
        <v>0</v>
      </c>
      <c r="BD85" s="25">
        <f>AB85*BA1</f>
        <v>129.19111111111113</v>
      </c>
      <c r="BE85" s="25">
        <f t="shared" si="779"/>
        <v>1550.2933333333335</v>
      </c>
      <c r="BF85" s="129">
        <v>1100</v>
      </c>
      <c r="BG85" s="129">
        <f t="shared" si="753"/>
        <v>91.666666666666671</v>
      </c>
      <c r="BH85" s="25"/>
      <c r="BI85" s="58">
        <f t="shared" si="754"/>
        <v>0</v>
      </c>
      <c r="BJ85" s="25">
        <v>220</v>
      </c>
      <c r="BK85" s="58">
        <f t="shared" si="754"/>
        <v>2.4</v>
      </c>
      <c r="BL85" s="25"/>
      <c r="BM85" s="58">
        <f t="shared" ref="BM85" si="918">BL85/$BG85</f>
        <v>0</v>
      </c>
      <c r="BN85" s="25">
        <v>34.9</v>
      </c>
      <c r="BO85" s="58">
        <f t="shared" ref="BO85" si="919">BN85/$BG85</f>
        <v>0.38072727272727269</v>
      </c>
      <c r="BP85" s="25">
        <v>180</v>
      </c>
      <c r="BQ85" s="58">
        <f t="shared" ref="BQ85" si="920">BP85/$BG85</f>
        <v>1.9636363636363636</v>
      </c>
      <c r="BR85" s="25">
        <v>156.82</v>
      </c>
      <c r="BS85" s="58">
        <f t="shared" ref="BS85" si="921">BR85/$BG85</f>
        <v>1.7107636363636363</v>
      </c>
      <c r="BT85" s="25">
        <v>432.88</v>
      </c>
      <c r="BU85" s="58">
        <f t="shared" ref="BU85" si="922">BT85/$BG85</f>
        <v>4.7223272727272727</v>
      </c>
      <c r="BV85" s="25">
        <v>175.76</v>
      </c>
      <c r="BW85" s="58">
        <f t="shared" ref="BW85" si="923">BV85/$BG85</f>
        <v>1.9173818181818181</v>
      </c>
      <c r="BX85" s="25">
        <v>102.7</v>
      </c>
      <c r="BY85" s="58">
        <f t="shared" ref="BY85" si="924">BX85/$BG85</f>
        <v>1.1203636363636362</v>
      </c>
      <c r="BZ85" s="25">
        <v>34.9</v>
      </c>
      <c r="CA85" s="58">
        <f t="shared" ref="CA85" si="925">BZ85/$BG85</f>
        <v>0.38072727272727269</v>
      </c>
      <c r="CB85" s="25">
        <v>34.9</v>
      </c>
      <c r="CC85" s="58">
        <f t="shared" ref="CC85" si="926">CB85/$BG85</f>
        <v>0.38072727272727269</v>
      </c>
      <c r="CD85" s="25">
        <v>34.9</v>
      </c>
      <c r="CE85" s="58">
        <f t="shared" ref="CE85" si="927">CD85/$BG85</f>
        <v>0.38072727272727269</v>
      </c>
      <c r="CF85" s="25">
        <f t="shared" si="915"/>
        <v>1407.7600000000002</v>
      </c>
      <c r="CG85" s="58">
        <f t="shared" si="834"/>
        <v>1.2797818181818184</v>
      </c>
    </row>
    <row r="86" spans="1:85" ht="15.75" x14ac:dyDescent="0.25">
      <c r="A86" s="44" t="s">
        <v>61</v>
      </c>
      <c r="B86" s="25">
        <v>10072.049625</v>
      </c>
      <c r="C86" s="26">
        <v>5966.97</v>
      </c>
      <c r="D86" s="26">
        <v>7955.96</v>
      </c>
      <c r="E86" s="25">
        <v>8353.7579999999998</v>
      </c>
      <c r="F86" s="25">
        <f t="shared" si="290"/>
        <v>696.14649999999995</v>
      </c>
      <c r="G86" s="25">
        <v>352.56</v>
      </c>
      <c r="H86" s="58">
        <f t="shared" si="806"/>
        <v>0.50644512326069302</v>
      </c>
      <c r="I86" s="25">
        <f>445.65+287.02</f>
        <v>732.67</v>
      </c>
      <c r="J86" s="58">
        <f t="shared" si="807"/>
        <v>1.0524652497714202</v>
      </c>
      <c r="K86" s="25">
        <f>39.25+177.92</f>
        <v>217.17</v>
      </c>
      <c r="L86" s="58">
        <f t="shared" si="808"/>
        <v>0.31196019803302899</v>
      </c>
      <c r="M86" s="25">
        <f>455+101.05</f>
        <v>556.04999999999995</v>
      </c>
      <c r="N86" s="58">
        <f t="shared" si="809"/>
        <v>0.79875428519715319</v>
      </c>
      <c r="O86" s="64">
        <f>180+906.07</f>
        <v>1086.0700000000002</v>
      </c>
      <c r="P86" s="58">
        <f t="shared" si="790"/>
        <v>1.5601170155994468</v>
      </c>
      <c r="Q86" s="64">
        <f>60.3+273.7+641.3-275</f>
        <v>700.3</v>
      </c>
      <c r="R86" s="58">
        <f t="shared" si="511"/>
        <v>1.0059664165516884</v>
      </c>
      <c r="S86" s="64">
        <f>69.19</f>
        <v>69.19</v>
      </c>
      <c r="T86" s="58">
        <f t="shared" si="512"/>
        <v>9.9389999087835676E-2</v>
      </c>
      <c r="U86" s="64">
        <f>630+14</f>
        <v>644</v>
      </c>
      <c r="V86" s="58">
        <f t="shared" si="513"/>
        <v>0.9250926349554297</v>
      </c>
      <c r="W86" s="64">
        <f>42+324.4</f>
        <v>366.4</v>
      </c>
      <c r="X86" s="58">
        <f t="shared" si="881"/>
        <v>0.52632599603675378</v>
      </c>
      <c r="Y86" s="25">
        <f t="shared" si="791"/>
        <v>4724.41</v>
      </c>
      <c r="Z86" s="58">
        <f t="shared" si="810"/>
        <v>0.56554307654112079</v>
      </c>
      <c r="AA86" s="25">
        <f t="shared" si="792"/>
        <v>524.93444444444447</v>
      </c>
      <c r="AB86" s="71">
        <f t="shared" si="916"/>
        <v>545.93182222222231</v>
      </c>
      <c r="AD86" s="69">
        <f t="shared" si="847"/>
        <v>1.04</v>
      </c>
      <c r="AG86" s="25">
        <v>86.14</v>
      </c>
      <c r="AH86" s="58">
        <f t="shared" si="765"/>
        <v>0.15778527005325693</v>
      </c>
      <c r="AI86" s="25">
        <v>623.78</v>
      </c>
      <c r="AJ86" s="58">
        <f t="shared" ref="AJ86" si="928">AI86/$AB86</f>
        <v>1.1425968859277991</v>
      </c>
      <c r="AK86" s="25"/>
      <c r="AL86" s="58">
        <f t="shared" si="516"/>
        <v>0</v>
      </c>
      <c r="AM86" s="25"/>
      <c r="AN86" s="58">
        <f t="shared" si="517"/>
        <v>0</v>
      </c>
      <c r="AO86" s="25"/>
      <c r="AP86" s="58">
        <f t="shared" si="518"/>
        <v>0</v>
      </c>
      <c r="AQ86" s="25"/>
      <c r="AR86" s="58">
        <f t="shared" si="519"/>
        <v>0</v>
      </c>
      <c r="AS86" s="25"/>
      <c r="AT86" s="58">
        <f t="shared" si="571"/>
        <v>0</v>
      </c>
      <c r="AU86" s="25"/>
      <c r="AV86" s="58">
        <f t="shared" si="572"/>
        <v>0</v>
      </c>
      <c r="AW86" s="25">
        <f>120.8+156.7</f>
        <v>277.5</v>
      </c>
      <c r="AX86" s="58">
        <f t="shared" si="573"/>
        <v>0.50830522915926168</v>
      </c>
      <c r="AY86" s="25"/>
      <c r="AZ86" s="58">
        <f t="shared" si="574"/>
        <v>0</v>
      </c>
      <c r="BA86" s="25">
        <f t="shared" si="794"/>
        <v>987.42</v>
      </c>
      <c r="BB86" s="58">
        <f t="shared" si="795"/>
        <v>0.15072394876169312</v>
      </c>
      <c r="BC86" s="25">
        <f t="shared" si="778"/>
        <v>109.71333333333332</v>
      </c>
      <c r="BD86" s="25">
        <f>AB86*BA1</f>
        <v>567.76909511111126</v>
      </c>
      <c r="BE86" s="25">
        <f t="shared" si="779"/>
        <v>6813.2291413333351</v>
      </c>
      <c r="BF86" s="129">
        <v>6900</v>
      </c>
      <c r="BG86" s="129">
        <f t="shared" si="753"/>
        <v>575</v>
      </c>
      <c r="BH86" s="25"/>
      <c r="BI86" s="58">
        <f t="shared" si="754"/>
        <v>0</v>
      </c>
      <c r="BJ86" s="25"/>
      <c r="BK86" s="58">
        <f t="shared" si="754"/>
        <v>0</v>
      </c>
      <c r="BL86" s="25"/>
      <c r="BM86" s="58">
        <f t="shared" ref="BM86" si="929">BL86/$BG86</f>
        <v>0</v>
      </c>
      <c r="BN86" s="25"/>
      <c r="BO86" s="58">
        <f t="shared" ref="BO86" si="930">BN86/$BG86</f>
        <v>0</v>
      </c>
      <c r="BP86" s="25"/>
      <c r="BQ86" s="58">
        <f t="shared" ref="BQ86" si="931">BP86/$BG86</f>
        <v>0</v>
      </c>
      <c r="BR86" s="25">
        <v>420.52</v>
      </c>
      <c r="BS86" s="58">
        <f t="shared" ref="BS86" si="932">BR86/$BG86</f>
        <v>0.7313391304347826</v>
      </c>
      <c r="BT86" s="25">
        <v>88</v>
      </c>
      <c r="BU86" s="58">
        <f t="shared" ref="BU86" si="933">BT86/$BG86</f>
        <v>0.15304347826086956</v>
      </c>
      <c r="BV86" s="25">
        <v>72.3</v>
      </c>
      <c r="BW86" s="58">
        <f t="shared" ref="BW86" si="934">BV86/$BG86</f>
        <v>0.1257391304347826</v>
      </c>
      <c r="BX86" s="25">
        <v>1640.83</v>
      </c>
      <c r="BY86" s="58">
        <f t="shared" ref="BY86" si="935">BX86/$BG86</f>
        <v>2.8536173913043479</v>
      </c>
      <c r="BZ86" s="25"/>
      <c r="CA86" s="58">
        <f t="shared" ref="CA86" si="936">BZ86/$BG86</f>
        <v>0</v>
      </c>
      <c r="CB86" s="25">
        <v>974.65</v>
      </c>
      <c r="CC86" s="58">
        <f t="shared" ref="CC86" si="937">CB86/$BG86</f>
        <v>1.6950434782608694</v>
      </c>
      <c r="CD86" s="25"/>
      <c r="CE86" s="58">
        <f t="shared" ref="CE86" si="938">CD86/$BG86</f>
        <v>0</v>
      </c>
      <c r="CF86" s="25">
        <f t="shared" si="915"/>
        <v>3196.2999999999997</v>
      </c>
      <c r="CG86" s="58">
        <f t="shared" si="834"/>
        <v>0.463231884057971</v>
      </c>
    </row>
    <row r="87" spans="1:85" ht="15.75" x14ac:dyDescent="0.25">
      <c r="A87" s="46" t="s">
        <v>130</v>
      </c>
      <c r="B87" s="25">
        <v>1254</v>
      </c>
      <c r="C87" s="26">
        <v>1663.04</v>
      </c>
      <c r="D87" s="26">
        <v>2217.3866666666668</v>
      </c>
      <c r="E87" s="25">
        <v>2328.2560000000003</v>
      </c>
      <c r="F87" s="25">
        <f t="shared" si="290"/>
        <v>194.02133333333336</v>
      </c>
      <c r="G87" s="25"/>
      <c r="H87" s="58">
        <f t="shared" si="806"/>
        <v>0</v>
      </c>
      <c r="I87" s="25"/>
      <c r="J87" s="58">
        <f t="shared" si="807"/>
        <v>0</v>
      </c>
      <c r="K87" s="25"/>
      <c r="L87" s="58">
        <f t="shared" si="808"/>
        <v>0</v>
      </c>
      <c r="M87" s="25">
        <f>3+50</f>
        <v>53</v>
      </c>
      <c r="N87" s="58">
        <f t="shared" si="809"/>
        <v>0.27316583743368422</v>
      </c>
      <c r="O87" s="64">
        <f>100+143.8</f>
        <v>243.8</v>
      </c>
      <c r="P87" s="58">
        <f t="shared" si="790"/>
        <v>1.2565628521949475</v>
      </c>
      <c r="Q87" s="64">
        <f>18+130</f>
        <v>148</v>
      </c>
      <c r="R87" s="58">
        <f t="shared" si="511"/>
        <v>0.76280271585255222</v>
      </c>
      <c r="S87" s="64">
        <f>24+237.42-37.69</f>
        <v>223.72999999999996</v>
      </c>
      <c r="T87" s="58">
        <f t="shared" si="512"/>
        <v>1.153120619038456</v>
      </c>
      <c r="U87" s="64">
        <v>292.52</v>
      </c>
      <c r="V87" s="58">
        <f t="shared" si="513"/>
        <v>1.5076692597377606</v>
      </c>
      <c r="W87" s="64">
        <f>30+100</f>
        <v>130</v>
      </c>
      <c r="X87" s="58">
        <f t="shared" si="881"/>
        <v>0.67002941257318771</v>
      </c>
      <c r="Y87" s="25">
        <f t="shared" si="791"/>
        <v>1091.05</v>
      </c>
      <c r="Z87" s="58">
        <f t="shared" si="810"/>
        <v>0.4686125580692157</v>
      </c>
      <c r="AA87" s="25">
        <f t="shared" si="792"/>
        <v>121.22777777777777</v>
      </c>
      <c r="AB87" s="71">
        <f t="shared" si="916"/>
        <v>126.07688888888889</v>
      </c>
      <c r="AD87" s="69">
        <f t="shared" si="847"/>
        <v>1.04</v>
      </c>
      <c r="AG87" s="25">
        <v>120</v>
      </c>
      <c r="AH87" s="58">
        <f t="shared" si="765"/>
        <v>0.95180013607216762</v>
      </c>
      <c r="AI87" s="25">
        <f>280</f>
        <v>280</v>
      </c>
      <c r="AJ87" s="58">
        <f t="shared" ref="AJ87" si="939">AI87/$AB87</f>
        <v>2.2208669841683912</v>
      </c>
      <c r="AK87" s="25"/>
      <c r="AL87" s="58">
        <f t="shared" si="516"/>
        <v>0</v>
      </c>
      <c r="AM87" s="25">
        <f>16+220</f>
        <v>236</v>
      </c>
      <c r="AN87" s="58">
        <f t="shared" si="517"/>
        <v>1.8718736009419297</v>
      </c>
      <c r="AO87" s="25"/>
      <c r="AP87" s="58">
        <f t="shared" si="518"/>
        <v>0</v>
      </c>
      <c r="AQ87" s="25"/>
      <c r="AR87" s="58">
        <f t="shared" si="519"/>
        <v>0</v>
      </c>
      <c r="AS87" s="25"/>
      <c r="AT87" s="58">
        <f t="shared" si="571"/>
        <v>0</v>
      </c>
      <c r="AU87" s="25">
        <v>36</v>
      </c>
      <c r="AV87" s="58">
        <f t="shared" si="572"/>
        <v>0.2855400408216503</v>
      </c>
      <c r="AW87" s="25">
        <v>108</v>
      </c>
      <c r="AX87" s="58">
        <f t="shared" si="573"/>
        <v>0.85662012246495089</v>
      </c>
      <c r="AY87" s="25">
        <v>156</v>
      </c>
      <c r="AZ87" s="58">
        <f t="shared" si="574"/>
        <v>1.2373401768938179</v>
      </c>
      <c r="BA87" s="25">
        <f t="shared" si="794"/>
        <v>936</v>
      </c>
      <c r="BB87" s="58">
        <f t="shared" si="795"/>
        <v>0.61867008844690896</v>
      </c>
      <c r="BC87" s="25">
        <f t="shared" si="778"/>
        <v>104</v>
      </c>
      <c r="BD87" s="25">
        <f>AB87*BA1</f>
        <v>131.11996444444443</v>
      </c>
      <c r="BE87" s="25">
        <f t="shared" si="779"/>
        <v>1573.4395733333331</v>
      </c>
      <c r="BF87" s="129">
        <v>1600</v>
      </c>
      <c r="BG87" s="129">
        <f t="shared" si="753"/>
        <v>133.33333333333334</v>
      </c>
      <c r="BH87" s="25">
        <v>228</v>
      </c>
      <c r="BI87" s="58">
        <f t="shared" si="754"/>
        <v>1.71</v>
      </c>
      <c r="BJ87" s="25">
        <v>48</v>
      </c>
      <c r="BK87" s="58">
        <f t="shared" si="754"/>
        <v>0.36</v>
      </c>
      <c r="BL87" s="25">
        <f>72</f>
        <v>72</v>
      </c>
      <c r="BM87" s="58">
        <f t="shared" ref="BM87" si="940">BL87/$BG87</f>
        <v>0.53999999999999992</v>
      </c>
      <c r="BN87" s="25">
        <f>5+108</f>
        <v>113</v>
      </c>
      <c r="BO87" s="58">
        <f t="shared" ref="BO87" si="941">BN87/$BG87</f>
        <v>0.84749999999999992</v>
      </c>
      <c r="BP87" s="25">
        <v>420</v>
      </c>
      <c r="BQ87" s="58">
        <f t="shared" ref="BQ87" si="942">BP87/$BG87</f>
        <v>3.15</v>
      </c>
      <c r="BR87" s="25">
        <v>72</v>
      </c>
      <c r="BS87" s="58">
        <f t="shared" ref="BS87" si="943">BR87/$BG87</f>
        <v>0.53999999999999992</v>
      </c>
      <c r="BT87" s="25">
        <v>396</v>
      </c>
      <c r="BU87" s="58">
        <f t="shared" ref="BU87" si="944">BT87/$BG87</f>
        <v>2.9699999999999998</v>
      </c>
      <c r="BV87" s="25">
        <v>420</v>
      </c>
      <c r="BW87" s="58">
        <f t="shared" ref="BW87" si="945">BV87/$BG87</f>
        <v>3.15</v>
      </c>
      <c r="BX87" s="25">
        <v>193.18</v>
      </c>
      <c r="BY87" s="58">
        <f t="shared" ref="BY87" si="946">BX87/$BG87</f>
        <v>1.44885</v>
      </c>
      <c r="BZ87" s="25">
        <v>349.18</v>
      </c>
      <c r="CA87" s="58">
        <f t="shared" ref="CA87" si="947">BZ87/$BG87</f>
        <v>2.6188499999999997</v>
      </c>
      <c r="CB87" s="25">
        <v>759.57</v>
      </c>
      <c r="CC87" s="58">
        <f t="shared" ref="CC87" si="948">CB87/$BG87</f>
        <v>5.6967749999999997</v>
      </c>
      <c r="CD87" s="25">
        <f>720</f>
        <v>720</v>
      </c>
      <c r="CE87" s="58">
        <f t="shared" ref="CE87" si="949">CD87/$BG87</f>
        <v>5.3999999999999995</v>
      </c>
      <c r="CF87" s="25">
        <f t="shared" si="915"/>
        <v>3790.9300000000003</v>
      </c>
      <c r="CG87" s="58">
        <f t="shared" si="834"/>
        <v>2.3693312500000001</v>
      </c>
    </row>
    <row r="88" spans="1:85" ht="15.75" x14ac:dyDescent="0.25">
      <c r="A88" s="44" t="s">
        <v>62</v>
      </c>
      <c r="B88" s="25">
        <v>2239.3304999999996</v>
      </c>
      <c r="C88" s="26">
        <v>813.5</v>
      </c>
      <c r="D88" s="26">
        <v>1084.6666666666665</v>
      </c>
      <c r="E88" s="25">
        <v>1138.8999999999999</v>
      </c>
      <c r="F88" s="25">
        <f t="shared" si="290"/>
        <v>94.908333333333317</v>
      </c>
      <c r="G88" s="25">
        <v>188.9</v>
      </c>
      <c r="H88" s="58">
        <f t="shared" si="806"/>
        <v>1.9903415576433405</v>
      </c>
      <c r="I88" s="25"/>
      <c r="J88" s="58">
        <f t="shared" si="807"/>
        <v>0</v>
      </c>
      <c r="K88" s="25">
        <v>188.9</v>
      </c>
      <c r="L88" s="58">
        <f t="shared" si="808"/>
        <v>1.9903415576433405</v>
      </c>
      <c r="M88" s="25"/>
      <c r="N88" s="58">
        <f t="shared" si="809"/>
        <v>0</v>
      </c>
      <c r="O88" s="64">
        <v>188.9</v>
      </c>
      <c r="P88" s="58">
        <f t="shared" si="790"/>
        <v>1.9903415576433405</v>
      </c>
      <c r="Q88" s="64">
        <f>662.6-130-273.7</f>
        <v>258.90000000000003</v>
      </c>
      <c r="R88" s="58">
        <f t="shared" si="511"/>
        <v>2.7278953376064634</v>
      </c>
      <c r="S88" s="64">
        <v>75</v>
      </c>
      <c r="T88" s="58">
        <f t="shared" si="512"/>
        <v>0.79023619281763113</v>
      </c>
      <c r="U88" s="64">
        <v>188.9</v>
      </c>
      <c r="V88" s="58">
        <f t="shared" si="513"/>
        <v>1.9903415576433405</v>
      </c>
      <c r="W88" s="64"/>
      <c r="X88" s="58">
        <f t="shared" si="881"/>
        <v>0</v>
      </c>
      <c r="Y88" s="25">
        <f t="shared" si="791"/>
        <v>1089.5000000000002</v>
      </c>
      <c r="Z88" s="58">
        <f t="shared" si="810"/>
        <v>0.95662481341645478</v>
      </c>
      <c r="AA88" s="25">
        <f t="shared" si="792"/>
        <v>121.05555555555559</v>
      </c>
      <c r="AB88" s="71">
        <f t="shared" si="916"/>
        <v>125.89777777777782</v>
      </c>
      <c r="AD88" s="69">
        <f t="shared" si="847"/>
        <v>1.04</v>
      </c>
      <c r="AG88" s="25">
        <v>65</v>
      </c>
      <c r="AH88" s="58">
        <f t="shared" si="765"/>
        <v>0.51629187700780155</v>
      </c>
      <c r="AI88" s="25">
        <f>682.5</f>
        <v>682.5</v>
      </c>
      <c r="AJ88" s="58">
        <f t="shared" ref="AJ88" si="950">AI88/$AB88</f>
        <v>5.4210647085819161</v>
      </c>
      <c r="AK88" s="25"/>
      <c r="AL88" s="58">
        <f t="shared" si="516"/>
        <v>0</v>
      </c>
      <c r="AM88" s="25">
        <v>437.8</v>
      </c>
      <c r="AN88" s="58">
        <f t="shared" si="517"/>
        <v>3.4774243654463928</v>
      </c>
      <c r="AO88" s="25">
        <v>47.99</v>
      </c>
      <c r="AP88" s="58">
        <f t="shared" si="518"/>
        <v>0.3811822642708369</v>
      </c>
      <c r="AQ88" s="25">
        <v>244.47</v>
      </c>
      <c r="AR88" s="58">
        <f t="shared" si="519"/>
        <v>1.9418134641861116</v>
      </c>
      <c r="AS88" s="25">
        <v>413.39</v>
      </c>
      <c r="AT88" s="58">
        <f t="shared" si="571"/>
        <v>3.283536908250078</v>
      </c>
      <c r="AU88" s="25">
        <v>192.48</v>
      </c>
      <c r="AV88" s="58">
        <f t="shared" si="572"/>
        <v>1.5288593920994098</v>
      </c>
      <c r="AW88" s="25">
        <v>416.39</v>
      </c>
      <c r="AX88" s="58">
        <f t="shared" si="573"/>
        <v>3.3073657641119767</v>
      </c>
      <c r="AY88" s="25">
        <v>437.5</v>
      </c>
      <c r="AZ88" s="58">
        <f t="shared" si="574"/>
        <v>3.4750414798602027</v>
      </c>
      <c r="BA88" s="25">
        <f t="shared" si="794"/>
        <v>2937.52</v>
      </c>
      <c r="BB88" s="58">
        <f t="shared" si="795"/>
        <v>1.9443816853178941</v>
      </c>
      <c r="BC88" s="25">
        <f t="shared" si="778"/>
        <v>326.39111111111112</v>
      </c>
      <c r="BD88" s="25">
        <f>BC88</f>
        <v>326.39111111111112</v>
      </c>
      <c r="BE88" s="25">
        <f t="shared" si="779"/>
        <v>3916.6933333333336</v>
      </c>
      <c r="BF88" s="129">
        <v>3900</v>
      </c>
      <c r="BG88" s="129">
        <f t="shared" si="753"/>
        <v>325</v>
      </c>
      <c r="BH88" s="25">
        <v>184.9</v>
      </c>
      <c r="BI88" s="58">
        <f t="shared" si="754"/>
        <v>0.56892307692307698</v>
      </c>
      <c r="BJ88" s="25">
        <v>403.79</v>
      </c>
      <c r="BK88" s="58">
        <f t="shared" si="754"/>
        <v>1.2424307692307692</v>
      </c>
      <c r="BL88" s="25">
        <v>135.9</v>
      </c>
      <c r="BM88" s="58">
        <f t="shared" ref="BM88" si="951">BL88/$BG88</f>
        <v>0.41815384615384615</v>
      </c>
      <c r="BN88" s="25">
        <v>122.31</v>
      </c>
      <c r="BO88" s="58">
        <f t="shared" ref="BO88" si="952">BN88/$BG88</f>
        <v>0.37633846153846157</v>
      </c>
      <c r="BP88" s="25">
        <v>583.71</v>
      </c>
      <c r="BQ88" s="58">
        <f t="shared" ref="BQ88" si="953">BP88/$BG88</f>
        <v>1.7960307692307693</v>
      </c>
      <c r="BR88" s="25">
        <v>130.41</v>
      </c>
      <c r="BS88" s="58">
        <f t="shared" ref="BS88" si="954">BR88/$BG88</f>
        <v>0.40126153846153845</v>
      </c>
      <c r="BT88" s="25">
        <v>130.41</v>
      </c>
      <c r="BU88" s="58">
        <f t="shared" ref="BU88" si="955">BT88/$BG88</f>
        <v>0.40126153846153845</v>
      </c>
      <c r="BV88" s="25">
        <v>190.41</v>
      </c>
      <c r="BW88" s="58">
        <f t="shared" ref="BW88" si="956">BV88/$BG88</f>
        <v>0.58587692307692307</v>
      </c>
      <c r="BX88" s="25">
        <v>554.91999999999996</v>
      </c>
      <c r="BY88" s="58">
        <f t="shared" ref="BY88" si="957">BX88/$BG88</f>
        <v>1.7074461538461536</v>
      </c>
      <c r="BZ88" s="25"/>
      <c r="CA88" s="58">
        <f t="shared" ref="CA88" si="958">BZ88/$BG88</f>
        <v>0</v>
      </c>
      <c r="CB88" s="25">
        <v>188.9</v>
      </c>
      <c r="CC88" s="58">
        <f t="shared" ref="CC88" si="959">CB88/$BG88</f>
        <v>0.58123076923076922</v>
      </c>
      <c r="CD88" s="25"/>
      <c r="CE88" s="58">
        <f t="shared" ref="CE88" si="960">CD88/$BG88</f>
        <v>0</v>
      </c>
      <c r="CF88" s="25">
        <f t="shared" si="915"/>
        <v>2625.6600000000003</v>
      </c>
      <c r="CG88" s="58">
        <f t="shared" si="834"/>
        <v>0.67324615384615394</v>
      </c>
    </row>
    <row r="89" spans="1:85" ht="15.75" x14ac:dyDescent="0.25">
      <c r="A89" s="44" t="s">
        <v>63</v>
      </c>
      <c r="B89" s="25">
        <v>8154.6836249999997</v>
      </c>
      <c r="C89" s="26">
        <v>11723.03</v>
      </c>
      <c r="D89" s="26">
        <v>15630.706666666669</v>
      </c>
      <c r="E89" s="25">
        <v>15000</v>
      </c>
      <c r="F89" s="25">
        <f t="shared" si="290"/>
        <v>1250</v>
      </c>
      <c r="G89" s="25"/>
      <c r="H89" s="58">
        <f t="shared" si="806"/>
        <v>0</v>
      </c>
      <c r="I89" s="25">
        <v>1248.29</v>
      </c>
      <c r="J89" s="58">
        <f t="shared" si="807"/>
        <v>0.99863199999999996</v>
      </c>
      <c r="K89" s="25">
        <f>4117.69-459.82</f>
        <v>3657.8699999999994</v>
      </c>
      <c r="L89" s="58">
        <f t="shared" si="808"/>
        <v>2.9262959999999993</v>
      </c>
      <c r="M89" s="25">
        <v>257.39999999999998</v>
      </c>
      <c r="N89" s="58">
        <f t="shared" si="809"/>
        <v>0.20591999999999999</v>
      </c>
      <c r="O89" s="64">
        <f>1247.18-135-190.89-138.25</f>
        <v>783.04000000000008</v>
      </c>
      <c r="P89" s="58">
        <f t="shared" si="790"/>
        <v>0.6264320000000001</v>
      </c>
      <c r="Q89" s="64"/>
      <c r="R89" s="58">
        <f t="shared" si="511"/>
        <v>0</v>
      </c>
      <c r="S89" s="64">
        <v>842</v>
      </c>
      <c r="T89" s="58">
        <f t="shared" si="512"/>
        <v>0.67359999999999998</v>
      </c>
      <c r="U89" s="64">
        <v>229.9</v>
      </c>
      <c r="V89" s="58">
        <f t="shared" si="513"/>
        <v>0.18392</v>
      </c>
      <c r="W89" s="64"/>
      <c r="X89" s="58">
        <f t="shared" si="881"/>
        <v>0</v>
      </c>
      <c r="Y89" s="25">
        <f t="shared" si="791"/>
        <v>7018.4999999999991</v>
      </c>
      <c r="Z89" s="58">
        <f t="shared" si="810"/>
        <v>0.46789999999999993</v>
      </c>
      <c r="AA89" s="25">
        <f t="shared" si="792"/>
        <v>779.83333333333326</v>
      </c>
      <c r="AB89" s="71">
        <f t="shared" si="916"/>
        <v>811.02666666666664</v>
      </c>
      <c r="AD89" s="69">
        <f t="shared" si="847"/>
        <v>1.04</v>
      </c>
      <c r="AG89" s="25">
        <v>802.8</v>
      </c>
      <c r="AH89" s="58">
        <f t="shared" si="765"/>
        <v>0.98985647820869016</v>
      </c>
      <c r="AI89" s="25">
        <v>57.7</v>
      </c>
      <c r="AJ89" s="58">
        <f t="shared" ref="AJ89" si="961">AI89/$AB89</f>
        <v>7.1144393114899646E-2</v>
      </c>
      <c r="AK89" s="25"/>
      <c r="AL89" s="58">
        <f t="shared" si="516"/>
        <v>0</v>
      </c>
      <c r="AM89" s="25">
        <v>73.3</v>
      </c>
      <c r="AN89" s="58">
        <f t="shared" si="517"/>
        <v>9.0379272362602139E-2</v>
      </c>
      <c r="AO89" s="25"/>
      <c r="AP89" s="58">
        <f t="shared" si="518"/>
        <v>0</v>
      </c>
      <c r="AQ89" s="25"/>
      <c r="AR89" s="58">
        <f t="shared" si="519"/>
        <v>0</v>
      </c>
      <c r="AS89" s="25"/>
      <c r="AT89" s="58">
        <f t="shared" si="571"/>
        <v>0</v>
      </c>
      <c r="AU89" s="25"/>
      <c r="AV89" s="58">
        <f t="shared" si="572"/>
        <v>0</v>
      </c>
      <c r="AW89" s="25">
        <v>1095.95</v>
      </c>
      <c r="AX89" s="58">
        <f t="shared" si="573"/>
        <v>1.3513119174050998</v>
      </c>
      <c r="AY89" s="25">
        <v>39.94</v>
      </c>
      <c r="AZ89" s="58">
        <f t="shared" si="574"/>
        <v>4.9246222894438321E-2</v>
      </c>
      <c r="BA89" s="25">
        <f t="shared" si="794"/>
        <v>2069.69</v>
      </c>
      <c r="BB89" s="58">
        <f t="shared" si="795"/>
        <v>0.21266152366547753</v>
      </c>
      <c r="BC89" s="25">
        <f t="shared" si="778"/>
        <v>229.96555555555557</v>
      </c>
      <c r="BD89" s="25">
        <f>AB89*BA1</f>
        <v>843.46773333333329</v>
      </c>
      <c r="BE89" s="25">
        <f t="shared" si="779"/>
        <v>10121.612799999999</v>
      </c>
      <c r="BF89" s="129">
        <v>10200</v>
      </c>
      <c r="BG89" s="129">
        <f t="shared" si="753"/>
        <v>850</v>
      </c>
      <c r="BH89" s="25">
        <v>766.2</v>
      </c>
      <c r="BI89" s="58">
        <f t="shared" si="754"/>
        <v>0.90141176470588236</v>
      </c>
      <c r="BJ89" s="25">
        <v>916.4</v>
      </c>
      <c r="BK89" s="58">
        <f t="shared" si="754"/>
        <v>1.0781176470588234</v>
      </c>
      <c r="BL89" s="25">
        <v>2288.27</v>
      </c>
      <c r="BM89" s="58">
        <f t="shared" ref="BM89" si="962">BL89/$BG89</f>
        <v>2.6920823529411764</v>
      </c>
      <c r="BN89" s="25">
        <v>139.9</v>
      </c>
      <c r="BO89" s="58">
        <f t="shared" ref="BO89" si="963">BN89/$BG89</f>
        <v>0.16458823529411765</v>
      </c>
      <c r="BP89" s="25">
        <f>1898.04+1199.7+43.12</f>
        <v>3140.8599999999997</v>
      </c>
      <c r="BQ89" s="58">
        <f t="shared" ref="BQ89" si="964">BP89/$BG89</f>
        <v>3.6951294117647056</v>
      </c>
      <c r="BR89" s="25">
        <v>1747.78</v>
      </c>
      <c r="BS89" s="58">
        <f t="shared" ref="BS89" si="965">BR89/$BG89</f>
        <v>2.0562117647058824</v>
      </c>
      <c r="BT89" s="25">
        <f>1375.97-490</f>
        <v>885.97</v>
      </c>
      <c r="BU89" s="58">
        <f t="shared" ref="BU89" si="966">BT89/$BG89</f>
        <v>1.0423176470588236</v>
      </c>
      <c r="BV89" s="25">
        <v>5723.81</v>
      </c>
      <c r="BW89" s="58">
        <f t="shared" ref="BW89" si="967">BV89/$BG89</f>
        <v>6.7338941176470595</v>
      </c>
      <c r="BX89" s="25">
        <f>5566.83-326.53</f>
        <v>5240.3</v>
      </c>
      <c r="BY89" s="58">
        <f t="shared" ref="BY89" si="968">BX89/$BG89</f>
        <v>6.1650588235294119</v>
      </c>
      <c r="BZ89" s="25">
        <v>1011.07</v>
      </c>
      <c r="CA89" s="58">
        <f t="shared" ref="CA89" si="969">BZ89/$BG89</f>
        <v>1.1894941176470588</v>
      </c>
      <c r="CB89" s="25">
        <v>17691.78</v>
      </c>
      <c r="CC89" s="58">
        <f t="shared" ref="CC89" si="970">CB89/$BG89</f>
        <v>20.813858823529412</v>
      </c>
      <c r="CD89" s="25">
        <f>6744.3-781.95</f>
        <v>5962.35</v>
      </c>
      <c r="CE89" s="58">
        <f t="shared" ref="CE89" si="971">CD89/$BG89</f>
        <v>7.0145294117647063</v>
      </c>
      <c r="CF89" s="25">
        <f t="shared" si="915"/>
        <v>45514.689999999995</v>
      </c>
      <c r="CG89" s="58">
        <f t="shared" si="834"/>
        <v>4.4622245098039208</v>
      </c>
    </row>
    <row r="90" spans="1:85" ht="15.75" x14ac:dyDescent="0.25">
      <c r="A90" s="47" t="s">
        <v>64</v>
      </c>
      <c r="B90" s="25">
        <v>15000</v>
      </c>
      <c r="C90" s="26">
        <v>9881.5</v>
      </c>
      <c r="D90" s="26">
        <v>15000</v>
      </c>
      <c r="E90" s="25">
        <v>15750</v>
      </c>
      <c r="F90" s="25">
        <f t="shared" si="290"/>
        <v>1312.5</v>
      </c>
      <c r="G90" s="25">
        <f>1250+289.03</f>
        <v>1539.03</v>
      </c>
      <c r="H90" s="58">
        <f t="shared" si="806"/>
        <v>1.1725942857142857</v>
      </c>
      <c r="I90" s="25">
        <f>1307.62+85.99</f>
        <v>1393.61</v>
      </c>
      <c r="J90" s="58">
        <f t="shared" si="807"/>
        <v>1.0617980952380952</v>
      </c>
      <c r="K90" s="25">
        <v>1307.6199999999999</v>
      </c>
      <c r="L90" s="58">
        <f t="shared" si="808"/>
        <v>0.9962819047619047</v>
      </c>
      <c r="M90" s="25">
        <v>1250</v>
      </c>
      <c r="N90" s="58">
        <f t="shared" si="809"/>
        <v>0.95238095238095233</v>
      </c>
      <c r="O90" s="64">
        <f>1250+100.58</f>
        <v>1350.58</v>
      </c>
      <c r="P90" s="58">
        <f t="shared" si="790"/>
        <v>1.0290133333333333</v>
      </c>
      <c r="Q90" s="64">
        <f>1250+222.2</f>
        <v>1472.2</v>
      </c>
      <c r="R90" s="58">
        <f t="shared" si="511"/>
        <v>1.1216761904761905</v>
      </c>
      <c r="S90" s="64">
        <f>1250-115.24</f>
        <v>1134.76</v>
      </c>
      <c r="T90" s="58">
        <f t="shared" si="512"/>
        <v>0.86457904761904758</v>
      </c>
      <c r="U90" s="64">
        <v>1250</v>
      </c>
      <c r="V90" s="58">
        <f t="shared" si="513"/>
        <v>0.95238095238095233</v>
      </c>
      <c r="W90" s="64">
        <v>1250</v>
      </c>
      <c r="X90" s="58">
        <f t="shared" si="881"/>
        <v>0.95238095238095233</v>
      </c>
      <c r="Y90" s="25">
        <f t="shared" si="791"/>
        <v>11947.800000000001</v>
      </c>
      <c r="Z90" s="58">
        <f t="shared" si="810"/>
        <v>0.75859047619047626</v>
      </c>
      <c r="AA90" s="25">
        <f t="shared" si="792"/>
        <v>1327.5333333333335</v>
      </c>
      <c r="AB90" s="71">
        <f t="shared" si="916"/>
        <v>1380.6346666666668</v>
      </c>
      <c r="AD90" s="69">
        <f t="shared" si="847"/>
        <v>1.04</v>
      </c>
      <c r="AG90" s="25">
        <v>1250</v>
      </c>
      <c r="AH90" s="58">
        <f t="shared" si="765"/>
        <v>0.90538071379732599</v>
      </c>
      <c r="AI90" s="25">
        <v>1250</v>
      </c>
      <c r="AJ90" s="58">
        <f t="shared" ref="AJ90" si="972">AI90/$AB90</f>
        <v>0.90538071379732599</v>
      </c>
      <c r="AK90" s="25"/>
      <c r="AL90" s="58">
        <f t="shared" si="516"/>
        <v>0</v>
      </c>
      <c r="AM90" s="25">
        <v>1250</v>
      </c>
      <c r="AN90" s="58">
        <f t="shared" si="517"/>
        <v>0.90538071379732599</v>
      </c>
      <c r="AO90" s="25">
        <v>1250</v>
      </c>
      <c r="AP90" s="58">
        <f t="shared" si="518"/>
        <v>0.90538071379732599</v>
      </c>
      <c r="AQ90" s="25">
        <v>1250</v>
      </c>
      <c r="AR90" s="58">
        <f t="shared" si="519"/>
        <v>0.90538071379732599</v>
      </c>
      <c r="AS90" s="25">
        <f>1250</f>
        <v>1250</v>
      </c>
      <c r="AT90" s="58">
        <f t="shared" si="571"/>
        <v>0.90538071379732599</v>
      </c>
      <c r="AU90" s="25">
        <v>1250</v>
      </c>
      <c r="AV90" s="58">
        <f t="shared" si="572"/>
        <v>0.90538071379732599</v>
      </c>
      <c r="AW90" s="25">
        <v>1250</v>
      </c>
      <c r="AX90" s="58">
        <f t="shared" si="573"/>
        <v>0.90538071379732599</v>
      </c>
      <c r="AY90" s="25">
        <f>1250</f>
        <v>1250</v>
      </c>
      <c r="AZ90" s="58">
        <f t="shared" si="574"/>
        <v>0.90538071379732599</v>
      </c>
      <c r="BA90" s="25">
        <f t="shared" si="794"/>
        <v>11250</v>
      </c>
      <c r="BB90" s="58">
        <f t="shared" si="795"/>
        <v>0.67903553534799443</v>
      </c>
      <c r="BC90" s="25">
        <f t="shared" si="778"/>
        <v>1250</v>
      </c>
      <c r="BD90" s="25">
        <f>AB90*BA1</f>
        <v>1435.8600533333336</v>
      </c>
      <c r="BE90" s="25">
        <f t="shared" si="779"/>
        <v>17230.320640000002</v>
      </c>
      <c r="BF90" s="129">
        <v>17300</v>
      </c>
      <c r="BG90" s="129">
        <f t="shared" si="753"/>
        <v>1441.6666666666667</v>
      </c>
      <c r="BH90" s="25">
        <v>1250</v>
      </c>
      <c r="BI90" s="58">
        <f t="shared" si="754"/>
        <v>0.86705202312138718</v>
      </c>
      <c r="BJ90" s="25">
        <v>1250</v>
      </c>
      <c r="BK90" s="58">
        <f t="shared" si="754"/>
        <v>0.86705202312138718</v>
      </c>
      <c r="BL90" s="25">
        <f>1250</f>
        <v>1250</v>
      </c>
      <c r="BM90" s="58">
        <f t="shared" ref="BM90" si="973">BL90/$BG90</f>
        <v>0.86705202312138718</v>
      </c>
      <c r="BN90" s="25">
        <f>1250</f>
        <v>1250</v>
      </c>
      <c r="BO90" s="58">
        <f t="shared" ref="BO90" si="974">BN90/$BG90</f>
        <v>0.86705202312138718</v>
      </c>
      <c r="BP90" s="25">
        <f>1250</f>
        <v>1250</v>
      </c>
      <c r="BQ90" s="58">
        <f t="shared" ref="BQ90" si="975">BP90/$BG90</f>
        <v>0.86705202312138718</v>
      </c>
      <c r="BR90" s="25">
        <v>1250</v>
      </c>
      <c r="BS90" s="58">
        <f t="shared" ref="BS90" si="976">BR90/$BG90</f>
        <v>0.86705202312138718</v>
      </c>
      <c r="BT90" s="25">
        <f>1250</f>
        <v>1250</v>
      </c>
      <c r="BU90" s="58">
        <f t="shared" ref="BU90" si="977">BT90/$BG90</f>
        <v>0.86705202312138718</v>
      </c>
      <c r="BV90" s="25">
        <f>1250</f>
        <v>1250</v>
      </c>
      <c r="BW90" s="58">
        <f t="shared" ref="BW90" si="978">BV90/$BG90</f>
        <v>0.86705202312138718</v>
      </c>
      <c r="BX90" s="25">
        <f>1250</f>
        <v>1250</v>
      </c>
      <c r="BY90" s="58">
        <f t="shared" ref="BY90" si="979">BX90/$BG90</f>
        <v>0.86705202312138718</v>
      </c>
      <c r="BZ90" s="25">
        <v>1250</v>
      </c>
      <c r="CA90" s="58">
        <f t="shared" ref="CA90" si="980">BZ90/$BG90</f>
        <v>0.86705202312138718</v>
      </c>
      <c r="CB90" s="25">
        <v>1250</v>
      </c>
      <c r="CC90" s="58">
        <f t="shared" ref="CC90" si="981">CB90/$BG90</f>
        <v>0.86705202312138718</v>
      </c>
      <c r="CD90" s="25">
        <v>1305.75</v>
      </c>
      <c r="CE90" s="58">
        <f t="shared" ref="CE90" si="982">CD90/$BG90</f>
        <v>0.90572254335260116</v>
      </c>
      <c r="CF90" s="25">
        <f t="shared" si="915"/>
        <v>15055.75</v>
      </c>
      <c r="CG90" s="58">
        <f t="shared" si="834"/>
        <v>0.87027456647398849</v>
      </c>
    </row>
    <row r="91" spans="1:85" ht="15.75" x14ac:dyDescent="0.25">
      <c r="A91" s="47" t="s">
        <v>65</v>
      </c>
      <c r="B91" s="25">
        <v>10000</v>
      </c>
      <c r="C91" s="26">
        <v>15480</v>
      </c>
      <c r="D91" s="26">
        <v>20640</v>
      </c>
      <c r="E91" s="25">
        <v>10000</v>
      </c>
      <c r="F91" s="25">
        <f t="shared" si="290"/>
        <v>833.33333333333337</v>
      </c>
      <c r="G91" s="25">
        <v>1440</v>
      </c>
      <c r="H91" s="58">
        <f t="shared" si="806"/>
        <v>1.728</v>
      </c>
      <c r="I91" s="25"/>
      <c r="J91" s="58">
        <f t="shared" si="807"/>
        <v>0</v>
      </c>
      <c r="K91" s="25"/>
      <c r="L91" s="58">
        <f t="shared" si="808"/>
        <v>0</v>
      </c>
      <c r="M91" s="25">
        <v>3759</v>
      </c>
      <c r="N91" s="58">
        <f t="shared" si="809"/>
        <v>4.5107999999999997</v>
      </c>
      <c r="O91" s="64"/>
      <c r="P91" s="58">
        <f t="shared" si="790"/>
        <v>0</v>
      </c>
      <c r="Q91" s="64">
        <v>6400</v>
      </c>
      <c r="R91" s="58">
        <f t="shared" si="511"/>
        <v>7.68</v>
      </c>
      <c r="S91" s="64">
        <v>2310</v>
      </c>
      <c r="T91" s="58">
        <f t="shared" si="512"/>
        <v>2.7719999999999998</v>
      </c>
      <c r="U91" s="64"/>
      <c r="V91" s="58">
        <f t="shared" si="513"/>
        <v>0</v>
      </c>
      <c r="W91" s="64"/>
      <c r="X91" s="58">
        <f t="shared" si="881"/>
        <v>0</v>
      </c>
      <c r="Y91" s="25">
        <f t="shared" si="791"/>
        <v>13909</v>
      </c>
      <c r="Z91" s="58">
        <f t="shared" si="810"/>
        <v>1.3909</v>
      </c>
      <c r="AA91" s="25">
        <f t="shared" si="792"/>
        <v>1545.4444444444443</v>
      </c>
      <c r="AB91" s="71">
        <v>400</v>
      </c>
      <c r="AD91" s="69">
        <f t="shared" si="847"/>
        <v>0.25882522107987638</v>
      </c>
      <c r="AE91" t="s">
        <v>153</v>
      </c>
      <c r="AG91" s="25"/>
      <c r="AH91" s="58">
        <f t="shared" si="765"/>
        <v>0</v>
      </c>
      <c r="AI91" s="25"/>
      <c r="AJ91" s="58">
        <f t="shared" ref="AJ91" si="983">AI91/$AB91</f>
        <v>0</v>
      </c>
      <c r="AK91" s="25"/>
      <c r="AL91" s="58">
        <f t="shared" si="516"/>
        <v>0</v>
      </c>
      <c r="AM91" s="25"/>
      <c r="AN91" s="58">
        <f t="shared" si="517"/>
        <v>0</v>
      </c>
      <c r="AO91" s="25"/>
      <c r="AP91" s="58">
        <f t="shared" si="518"/>
        <v>0</v>
      </c>
      <c r="AQ91" s="25"/>
      <c r="AR91" s="58">
        <f t="shared" si="519"/>
        <v>0</v>
      </c>
      <c r="AS91" s="25"/>
      <c r="AT91" s="58">
        <f t="shared" si="571"/>
        <v>0</v>
      </c>
      <c r="AU91" s="25"/>
      <c r="AV91" s="58">
        <f t="shared" si="572"/>
        <v>0</v>
      </c>
      <c r="AW91" s="25"/>
      <c r="AX91" s="58">
        <f t="shared" si="573"/>
        <v>0</v>
      </c>
      <c r="AY91" s="25"/>
      <c r="AZ91" s="58">
        <f t="shared" si="574"/>
        <v>0</v>
      </c>
      <c r="BA91" s="25">
        <f t="shared" si="794"/>
        <v>0</v>
      </c>
      <c r="BB91" s="58">
        <f t="shared" si="795"/>
        <v>0</v>
      </c>
      <c r="BC91" s="25">
        <f t="shared" si="778"/>
        <v>0</v>
      </c>
      <c r="BD91" s="25">
        <f>AB91</f>
        <v>400</v>
      </c>
      <c r="BE91" s="25">
        <f t="shared" si="779"/>
        <v>4800</v>
      </c>
      <c r="BF91" s="129">
        <v>5000</v>
      </c>
      <c r="BG91" s="129">
        <f t="shared" si="753"/>
        <v>416.66666666666669</v>
      </c>
      <c r="BH91" s="25"/>
      <c r="BI91" s="58">
        <f t="shared" si="754"/>
        <v>0</v>
      </c>
      <c r="BJ91" s="25"/>
      <c r="BK91" s="58">
        <f t="shared" si="754"/>
        <v>0</v>
      </c>
      <c r="BL91" s="25"/>
      <c r="BM91" s="58">
        <f t="shared" ref="BM91" si="984">BL91/$BG91</f>
        <v>0</v>
      </c>
      <c r="BN91" s="25"/>
      <c r="BO91" s="58">
        <f t="shared" ref="BO91" si="985">BN91/$BG91</f>
        <v>0</v>
      </c>
      <c r="BP91" s="25"/>
      <c r="BQ91" s="58">
        <f t="shared" ref="BQ91" si="986">BP91/$BG91</f>
        <v>0</v>
      </c>
      <c r="BR91" s="25"/>
      <c r="BS91" s="58">
        <f t="shared" ref="BS91" si="987">BR91/$BG91</f>
        <v>0</v>
      </c>
      <c r="BT91" s="25"/>
      <c r="BU91" s="58">
        <f t="shared" ref="BU91" si="988">BT91/$BG91</f>
        <v>0</v>
      </c>
      <c r="BV91" s="25"/>
      <c r="BW91" s="58">
        <f t="shared" ref="BW91" si="989">BV91/$BG91</f>
        <v>0</v>
      </c>
      <c r="BX91" s="25"/>
      <c r="BY91" s="58">
        <f t="shared" ref="BY91" si="990">BX91/$BG91</f>
        <v>0</v>
      </c>
      <c r="BZ91" s="25"/>
      <c r="CA91" s="58">
        <f t="shared" ref="CA91" si="991">BZ91/$BG91</f>
        <v>0</v>
      </c>
      <c r="CB91" s="25"/>
      <c r="CC91" s="58">
        <f t="shared" ref="CC91" si="992">CB91/$BG91</f>
        <v>0</v>
      </c>
      <c r="CD91" s="25"/>
      <c r="CE91" s="58">
        <f t="shared" ref="CE91" si="993">CD91/$BG91</f>
        <v>0</v>
      </c>
      <c r="CF91" s="25">
        <f t="shared" si="915"/>
        <v>0</v>
      </c>
      <c r="CG91" s="58">
        <f t="shared" si="834"/>
        <v>0</v>
      </c>
    </row>
    <row r="92" spans="1:85" ht="15.75" x14ac:dyDescent="0.25">
      <c r="A92" s="40" t="s">
        <v>66</v>
      </c>
      <c r="B92" s="35">
        <v>175613.85440000001</v>
      </c>
      <c r="C92" s="35">
        <v>123788.85</v>
      </c>
      <c r="D92" s="36">
        <v>160644.46000000002</v>
      </c>
      <c r="E92" s="36">
        <v>168176.68300000002</v>
      </c>
      <c r="F92" s="36">
        <f t="shared" si="290"/>
        <v>14014.723583333334</v>
      </c>
      <c r="G92" s="36">
        <f>G93+G108</f>
        <v>5037.9400000000005</v>
      </c>
      <c r="H92" s="59">
        <f t="shared" si="806"/>
        <v>0.35947480305578389</v>
      </c>
      <c r="I92" s="36">
        <f>I93+I108</f>
        <v>11260.04</v>
      </c>
      <c r="J92" s="59">
        <f t="shared" si="807"/>
        <v>0.80344360222635625</v>
      </c>
      <c r="K92" s="36">
        <f>K93+K108</f>
        <v>11472.94</v>
      </c>
      <c r="L92" s="59">
        <f t="shared" si="808"/>
        <v>0.81863476876874774</v>
      </c>
      <c r="M92" s="36">
        <f>M93+M108</f>
        <v>17970.47</v>
      </c>
      <c r="N92" s="59">
        <f t="shared" si="809"/>
        <v>1.2822564707141952</v>
      </c>
      <c r="O92" s="65">
        <f>O93+O108</f>
        <v>19005.25</v>
      </c>
      <c r="P92" s="59">
        <f t="shared" si="790"/>
        <v>1.3560916765138005</v>
      </c>
      <c r="Q92" s="65">
        <f>Q93+Q108</f>
        <v>24578.46</v>
      </c>
      <c r="R92" s="59">
        <f t="shared" si="511"/>
        <v>1.7537598835862398</v>
      </c>
      <c r="S92" s="65">
        <f>S93+S108</f>
        <v>23852.639999999999</v>
      </c>
      <c r="T92" s="59">
        <f t="shared" si="512"/>
        <v>1.7019700644232587</v>
      </c>
      <c r="U92" s="65">
        <f>U93+U108</f>
        <v>8135.43</v>
      </c>
      <c r="V92" s="59">
        <f t="shared" si="513"/>
        <v>0.58049164877392667</v>
      </c>
      <c r="W92" s="65">
        <f>W93+W108</f>
        <v>12080.94</v>
      </c>
      <c r="X92" s="59">
        <f t="shared" si="881"/>
        <v>0.86201771502414515</v>
      </c>
      <c r="Y92" s="36">
        <f t="shared" si="791"/>
        <v>133394.11000000002</v>
      </c>
      <c r="Z92" s="59">
        <f t="shared" si="810"/>
        <v>0.79317838609053792</v>
      </c>
      <c r="AA92" s="36">
        <f t="shared" si="792"/>
        <v>14821.56777777778</v>
      </c>
      <c r="AB92" s="36">
        <f>AB93+AB108</f>
        <v>14558.837600000001</v>
      </c>
      <c r="AD92" s="69"/>
      <c r="AG92" s="36">
        <f>AG93+AG108</f>
        <v>5989.99</v>
      </c>
      <c r="AH92" s="59">
        <f t="shared" si="765"/>
        <v>0.41143325892995741</v>
      </c>
      <c r="AI92" s="36">
        <f>AI93+AI108</f>
        <v>16677.36</v>
      </c>
      <c r="AJ92" s="59">
        <f t="shared" ref="AJ92" si="994">AI92/$AB92</f>
        <v>1.1455145292643418</v>
      </c>
      <c r="AK92" s="36">
        <f>AK93+AK108</f>
        <v>0</v>
      </c>
      <c r="AL92" s="59">
        <f t="shared" si="516"/>
        <v>0</v>
      </c>
      <c r="AM92" s="36">
        <f>AM93+AM108</f>
        <v>5319.96</v>
      </c>
      <c r="AN92" s="59">
        <f t="shared" si="517"/>
        <v>0.36541104078254155</v>
      </c>
      <c r="AO92" s="36">
        <f>AO93+AO108</f>
        <v>789.99</v>
      </c>
      <c r="AP92" s="59">
        <f t="shared" si="518"/>
        <v>5.4261886951744005E-2</v>
      </c>
      <c r="AQ92" s="36">
        <f>AQ93+AQ108</f>
        <v>7800</v>
      </c>
      <c r="AR92" s="59">
        <f t="shared" si="519"/>
        <v>0.53575705796732009</v>
      </c>
      <c r="AS92" s="36">
        <f>AS93+AS108</f>
        <v>5600</v>
      </c>
      <c r="AT92" s="59">
        <f t="shared" si="571"/>
        <v>0.38464609289961443</v>
      </c>
      <c r="AU92" s="36">
        <f>AU93+AU108</f>
        <v>7789.99</v>
      </c>
      <c r="AV92" s="59">
        <f t="shared" si="572"/>
        <v>0.535069503076262</v>
      </c>
      <c r="AW92" s="36">
        <f>AW93+AW108</f>
        <v>8637.56</v>
      </c>
      <c r="AX92" s="59">
        <f t="shared" si="573"/>
        <v>0.59328637610464174</v>
      </c>
      <c r="AY92" s="36">
        <f>AY93+AY108</f>
        <v>4300</v>
      </c>
      <c r="AZ92" s="59">
        <f t="shared" si="574"/>
        <v>0.29535324990506107</v>
      </c>
      <c r="BA92" s="36">
        <f t="shared" si="794"/>
        <v>62904.85</v>
      </c>
      <c r="BB92" s="59">
        <f t="shared" si="795"/>
        <v>0.36006108299012368</v>
      </c>
      <c r="BC92" s="36">
        <f t="shared" si="778"/>
        <v>6989.4277777777779</v>
      </c>
      <c r="BD92" s="36">
        <f>BD93+BD108</f>
        <v>14843.335104000002</v>
      </c>
      <c r="BE92" s="36">
        <f t="shared" si="779"/>
        <v>178120.02124800003</v>
      </c>
      <c r="BF92" s="134">
        <f>BF93</f>
        <v>105587.59040000003</v>
      </c>
      <c r="BG92" s="134">
        <f t="shared" si="753"/>
        <v>8798.9658666666692</v>
      </c>
      <c r="BH92" s="36">
        <f>BH93+BH108</f>
        <v>7266.68</v>
      </c>
      <c r="BI92" s="59">
        <f t="shared" si="754"/>
        <v>0.82585614151869102</v>
      </c>
      <c r="BJ92" s="36">
        <f>BJ93+BJ108</f>
        <v>7340</v>
      </c>
      <c r="BK92" s="59">
        <f t="shared" si="754"/>
        <v>0.83418893893045953</v>
      </c>
      <c r="BL92" s="36">
        <f>BL93+BL108</f>
        <v>4720</v>
      </c>
      <c r="BM92" s="59">
        <f t="shared" ref="BM92" si="995">BL92/$BG92</f>
        <v>0.53642667462558158</v>
      </c>
      <c r="BN92" s="36">
        <f>BN93+BN108</f>
        <v>6186.26</v>
      </c>
      <c r="BO92" s="59">
        <f t="shared" ref="BO92" si="996">BN92/$BG92</f>
        <v>0.70306671190026493</v>
      </c>
      <c r="BP92" s="36">
        <f>BP93+BP108</f>
        <v>9949.75</v>
      </c>
      <c r="BQ92" s="59">
        <f t="shared" ref="BQ92" si="997">BP92/$BG92</f>
        <v>1.130786293613534</v>
      </c>
      <c r="BR92" s="36">
        <f>BR93+BR108</f>
        <v>6751.7300000000005</v>
      </c>
      <c r="BS92" s="59">
        <f t="shared" ref="BS92" si="998">BR92/$BG92</f>
        <v>0.76733221861647849</v>
      </c>
      <c r="BT92" s="36">
        <f>BT93+BT108</f>
        <v>9393.32</v>
      </c>
      <c r="BU92" s="59">
        <f t="shared" ref="BU92" si="999">BT92/$BG92</f>
        <v>1.0675481803588915</v>
      </c>
      <c r="BV92" s="36">
        <f>BV93+BV108</f>
        <v>13041.19</v>
      </c>
      <c r="BW92" s="59">
        <f t="shared" ref="BW92" si="1000">BV92/$BG92</f>
        <v>1.482127581538218</v>
      </c>
      <c r="BX92" s="36">
        <f>BX93+BX108</f>
        <v>20858.61</v>
      </c>
      <c r="BY92" s="59">
        <f t="shared" ref="BY92" si="1001">BX92/$BG92</f>
        <v>2.3705751694093014</v>
      </c>
      <c r="BZ92" s="36">
        <v>20815.71</v>
      </c>
      <c r="CA92" s="59">
        <f t="shared" ref="CA92" si="1002">BZ92/$BG92</f>
        <v>2.3656995964556069</v>
      </c>
      <c r="CB92" s="36">
        <f>CB93+CB108</f>
        <v>24173.25</v>
      </c>
      <c r="CC92" s="59">
        <f t="shared" ref="CC92" si="1003">CB92/$BG92</f>
        <v>2.7472830746595003</v>
      </c>
      <c r="CD92" s="36">
        <f>CD93+CD108</f>
        <v>63147.990000000005</v>
      </c>
      <c r="CE92" s="59">
        <f t="shared" ref="CE92" si="1004">CD92/$BG92</f>
        <v>7.1767513315655682</v>
      </c>
      <c r="CF92" s="36">
        <f>CF93+CF108</f>
        <v>193644.49</v>
      </c>
      <c r="CG92" s="59">
        <f t="shared" si="834"/>
        <v>1.8339701594326745</v>
      </c>
    </row>
    <row r="93" spans="1:85" ht="15.75" x14ac:dyDescent="0.25">
      <c r="A93" s="41" t="s">
        <v>67</v>
      </c>
      <c r="B93" s="42">
        <v>111030.4544</v>
      </c>
      <c r="C93" s="42">
        <v>69749.36</v>
      </c>
      <c r="D93" s="43">
        <v>88591.806666666671</v>
      </c>
      <c r="E93" s="43">
        <v>92521.397000000012</v>
      </c>
      <c r="F93" s="43">
        <f t="shared" si="290"/>
        <v>7710.1164166666676</v>
      </c>
      <c r="G93" s="43">
        <f>SUM(G94:G107)</f>
        <v>0</v>
      </c>
      <c r="H93" s="60">
        <f t="shared" si="806"/>
        <v>0</v>
      </c>
      <c r="I93" s="43">
        <f>SUM(I94:I107)</f>
        <v>5322.1</v>
      </c>
      <c r="J93" s="60">
        <f t="shared" si="807"/>
        <v>0.69027492094612442</v>
      </c>
      <c r="K93" s="43">
        <f>SUM(K94:K107)</f>
        <v>4745</v>
      </c>
      <c r="L93" s="60">
        <f t="shared" si="808"/>
        <v>0.61542520807376044</v>
      </c>
      <c r="M93" s="43">
        <f>SUM(M94:M107)</f>
        <v>11242.53</v>
      </c>
      <c r="N93" s="60">
        <f t="shared" si="809"/>
        <v>1.4581530799842981</v>
      </c>
      <c r="O93" s="66">
        <f>SUM(O94:O107)</f>
        <v>12277.31</v>
      </c>
      <c r="P93" s="60">
        <f t="shared" si="790"/>
        <v>1.5923637642436372</v>
      </c>
      <c r="Q93" s="66">
        <f>SUM(Q94:Q107)</f>
        <v>17850.52</v>
      </c>
      <c r="R93" s="60">
        <f t="shared" si="511"/>
        <v>2.315207583819773</v>
      </c>
      <c r="S93" s="66">
        <f>SUM(S94:S107)</f>
        <v>16724.7</v>
      </c>
      <c r="T93" s="60">
        <f t="shared" si="512"/>
        <v>2.169189036347992</v>
      </c>
      <c r="U93" s="66">
        <f>SUM(U94:U107)</f>
        <v>1007.49</v>
      </c>
      <c r="V93" s="60">
        <f t="shared" si="513"/>
        <v>0.13067117868961706</v>
      </c>
      <c r="W93" s="66">
        <f>SUM(W94:W107)</f>
        <v>5743</v>
      </c>
      <c r="X93" s="60">
        <f t="shared" si="881"/>
        <v>0.74486553634722996</v>
      </c>
      <c r="Y93" s="43">
        <f t="shared" si="791"/>
        <v>74912.650000000009</v>
      </c>
      <c r="Z93" s="60">
        <f t="shared" si="810"/>
        <v>0.80967919237103603</v>
      </c>
      <c r="AA93" s="43">
        <f t="shared" si="792"/>
        <v>8323.6277777777796</v>
      </c>
      <c r="AB93" s="43">
        <f>SUM(AB94:AB107)</f>
        <v>7732.98</v>
      </c>
      <c r="AD93" s="69"/>
      <c r="AG93" s="43">
        <f>SUM(AG94:AG107)</f>
        <v>0</v>
      </c>
      <c r="AH93" s="60">
        <f t="shared" si="765"/>
        <v>0</v>
      </c>
      <c r="AI93" s="43">
        <f>SUM(AI94:AI107)</f>
        <v>10687.369999999999</v>
      </c>
      <c r="AJ93" s="60">
        <f t="shared" ref="AJ93" si="1005">AI93/$AB93</f>
        <v>1.38205064541742</v>
      </c>
      <c r="AK93" s="43">
        <f>SUM(AK94:AK107)</f>
        <v>0</v>
      </c>
      <c r="AL93" s="60">
        <f t="shared" si="516"/>
        <v>0</v>
      </c>
      <c r="AM93" s="43">
        <f>SUM(AM94:AM107)</f>
        <v>119.96</v>
      </c>
      <c r="AN93" s="60">
        <f t="shared" si="517"/>
        <v>1.5512777738982901E-2</v>
      </c>
      <c r="AO93" s="43">
        <f>SUM(AO94:AO107)</f>
        <v>0</v>
      </c>
      <c r="AP93" s="60">
        <f t="shared" si="518"/>
        <v>0</v>
      </c>
      <c r="AQ93" s="43">
        <f>SUM(AQ94:AQ107)</f>
        <v>0</v>
      </c>
      <c r="AR93" s="60">
        <f t="shared" si="519"/>
        <v>0</v>
      </c>
      <c r="AS93" s="43">
        <f>SUM(AS94:AS107)</f>
        <v>0</v>
      </c>
      <c r="AT93" s="60">
        <f t="shared" si="571"/>
        <v>0</v>
      </c>
      <c r="AU93" s="43">
        <f>SUM(AU94:AU107)</f>
        <v>0</v>
      </c>
      <c r="AV93" s="60">
        <f t="shared" si="572"/>
        <v>0</v>
      </c>
      <c r="AW93" s="43">
        <f>SUM(AW94:AW107)</f>
        <v>2247.5700000000002</v>
      </c>
      <c r="AX93" s="60">
        <f t="shared" si="573"/>
        <v>0.29064733130048187</v>
      </c>
      <c r="AY93" s="43">
        <f>SUM(AY94:AY107)</f>
        <v>0</v>
      </c>
      <c r="AZ93" s="60">
        <f t="shared" si="574"/>
        <v>0</v>
      </c>
      <c r="BA93" s="43">
        <f t="shared" si="794"/>
        <v>13054.899999999998</v>
      </c>
      <c r="BB93" s="60">
        <f t="shared" si="795"/>
        <v>0.14068422953807372</v>
      </c>
      <c r="BC93" s="43">
        <f t="shared" si="778"/>
        <v>1450.5444444444443</v>
      </c>
      <c r="BD93" s="43">
        <f>SUM(BD94:BD107)</f>
        <v>8042.2992000000004</v>
      </c>
      <c r="BE93" s="43">
        <f t="shared" si="779"/>
        <v>96507.590400000001</v>
      </c>
      <c r="BF93" s="136">
        <f>SUM(BF94:BF107)</f>
        <v>105587.59040000003</v>
      </c>
      <c r="BG93" s="136">
        <f t="shared" si="753"/>
        <v>8798.9658666666692</v>
      </c>
      <c r="BH93" s="43">
        <f>SUM(BH94:BH107)</f>
        <v>885.14</v>
      </c>
      <c r="BI93" s="60">
        <f t="shared" si="754"/>
        <v>0.10059591245298459</v>
      </c>
      <c r="BJ93" s="43">
        <f>SUM(BJ94:BJ107)</f>
        <v>2620</v>
      </c>
      <c r="BK93" s="60">
        <f t="shared" si="754"/>
        <v>0.2977622643048779</v>
      </c>
      <c r="BL93" s="43">
        <f>SUM(BL94:BL107)</f>
        <v>0</v>
      </c>
      <c r="BM93" s="60">
        <f t="shared" ref="BM93" si="1006">BL93/$BG93</f>
        <v>0</v>
      </c>
      <c r="BN93" s="43">
        <f>SUM(BN94:BN107)</f>
        <v>635.49</v>
      </c>
      <c r="BO93" s="60">
        <f t="shared" ref="BO93" si="1007">BN93/$BG93</f>
        <v>7.2223260054620944E-2</v>
      </c>
      <c r="BP93" s="43">
        <f>SUM(BP94:BP107)</f>
        <v>5229.75</v>
      </c>
      <c r="BQ93" s="60">
        <f t="shared" ref="BQ93" si="1008">BP93/$BG93</f>
        <v>0.59435961898795242</v>
      </c>
      <c r="BR93" s="43">
        <f>SUM(BR94:BR107)</f>
        <v>1200.96</v>
      </c>
      <c r="BS93" s="60">
        <f t="shared" ref="BS93" si="1009">BR93/$BG93</f>
        <v>0.13648876677083444</v>
      </c>
      <c r="BT93" s="43">
        <f>SUM(BT94:BT107)</f>
        <v>4673.32</v>
      </c>
      <c r="BU93" s="60">
        <f t="shared" ref="BU93" si="1010">BT93/$BG93</f>
        <v>0.53112150573330996</v>
      </c>
      <c r="BV93" s="43">
        <f>SUM(BV94:BV107)</f>
        <v>7490.42</v>
      </c>
      <c r="BW93" s="60">
        <f t="shared" ref="BW93" si="1011">BV93/$BG93</f>
        <v>0.85128412969257394</v>
      </c>
      <c r="BX93" s="43">
        <f>SUM(BX94:BX107)</f>
        <v>16138.61</v>
      </c>
      <c r="BY93" s="60">
        <f t="shared" ref="BY93" si="1012">BX93/$BG93</f>
        <v>1.8341484947837199</v>
      </c>
      <c r="BZ93" s="43">
        <v>15264.939999999999</v>
      </c>
      <c r="CA93" s="60">
        <f t="shared" ref="CA93" si="1013">BZ93/$BG93</f>
        <v>1.7348561446099628</v>
      </c>
      <c r="CB93" s="43">
        <f>SUM(CB94:CB107)</f>
        <v>19453.25</v>
      </c>
      <c r="CC93" s="60">
        <f t="shared" ref="CC93" si="1014">CB93/$BG93</f>
        <v>2.2108564000339186</v>
      </c>
      <c r="CD93" s="43">
        <f>SUM(CD94:CD107)</f>
        <v>57157.22</v>
      </c>
      <c r="CE93" s="60">
        <f t="shared" ref="CE93" si="1015">CD93/$BG93</f>
        <v>6.4959020032717767</v>
      </c>
      <c r="CF93" s="43">
        <f>SUM(CF94:CF107)</f>
        <v>130749.1</v>
      </c>
      <c r="CG93" s="60">
        <f t="shared" si="834"/>
        <v>1.2382998750580445</v>
      </c>
    </row>
    <row r="94" spans="1:85" ht="15.75" x14ac:dyDescent="0.25">
      <c r="A94" s="44" t="s">
        <v>68</v>
      </c>
      <c r="B94" s="25">
        <v>38182.669800000003</v>
      </c>
      <c r="C94" s="26">
        <v>26681.47</v>
      </c>
      <c r="D94" s="26">
        <v>26681.47</v>
      </c>
      <c r="E94" s="25">
        <v>28015.543500000003</v>
      </c>
      <c r="F94" s="25">
        <f t="shared" si="290"/>
        <v>2334.6286250000003</v>
      </c>
      <c r="G94" s="25"/>
      <c r="H94" s="58">
        <f t="shared" si="806"/>
        <v>0</v>
      </c>
      <c r="I94" s="25"/>
      <c r="J94" s="58">
        <f t="shared" si="807"/>
        <v>0</v>
      </c>
      <c r="K94" s="25"/>
      <c r="L94" s="58">
        <f t="shared" si="808"/>
        <v>0</v>
      </c>
      <c r="M94" s="25"/>
      <c r="N94" s="58">
        <f t="shared" si="809"/>
        <v>0</v>
      </c>
      <c r="O94" s="64">
        <v>10700.01</v>
      </c>
      <c r="P94" s="58">
        <f t="shared" si="790"/>
        <v>4.583174336774869</v>
      </c>
      <c r="Q94" s="64">
        <v>16732.09</v>
      </c>
      <c r="R94" s="58">
        <f t="shared" si="511"/>
        <v>7.1669171793865063</v>
      </c>
      <c r="S94" s="64">
        <v>16724.7</v>
      </c>
      <c r="T94" s="58">
        <f t="shared" si="512"/>
        <v>7.1637517937140851</v>
      </c>
      <c r="U94" s="64">
        <f>189-89.78</f>
        <v>99.22</v>
      </c>
      <c r="V94" s="58">
        <f t="shared" si="513"/>
        <v>4.2499264738519164E-2</v>
      </c>
      <c r="W94" s="64"/>
      <c r="X94" s="58">
        <f t="shared" si="881"/>
        <v>0</v>
      </c>
      <c r="Y94" s="25">
        <f t="shared" si="791"/>
        <v>44256.020000000004</v>
      </c>
      <c r="Z94" s="58">
        <f t="shared" si="810"/>
        <v>1.5796952145511651</v>
      </c>
      <c r="AA94" s="25">
        <f t="shared" si="792"/>
        <v>4917.3355555555563</v>
      </c>
      <c r="AB94" s="25">
        <v>3300</v>
      </c>
      <c r="AD94" s="69"/>
      <c r="AG94" s="25"/>
      <c r="AH94" s="58">
        <f t="shared" si="765"/>
        <v>0</v>
      </c>
      <c r="AI94" s="25"/>
      <c r="AJ94" s="58">
        <f t="shared" ref="AJ94" si="1016">AI94/$AB94</f>
        <v>0</v>
      </c>
      <c r="AK94" s="25"/>
      <c r="AL94" s="58">
        <f t="shared" si="516"/>
        <v>0</v>
      </c>
      <c r="AM94" s="25"/>
      <c r="AN94" s="58">
        <f t="shared" si="517"/>
        <v>0</v>
      </c>
      <c r="AO94" s="25"/>
      <c r="AP94" s="58">
        <f t="shared" si="518"/>
        <v>0</v>
      </c>
      <c r="AQ94" s="25"/>
      <c r="AR94" s="58">
        <f t="shared" si="519"/>
        <v>0</v>
      </c>
      <c r="AS94" s="25"/>
      <c r="AT94" s="58">
        <f t="shared" si="571"/>
        <v>0</v>
      </c>
      <c r="AU94" s="25"/>
      <c r="AV94" s="58">
        <f t="shared" si="572"/>
        <v>0</v>
      </c>
      <c r="AW94" s="25"/>
      <c r="AX94" s="58">
        <f t="shared" si="573"/>
        <v>0</v>
      </c>
      <c r="AY94" s="25"/>
      <c r="AZ94" s="58">
        <f t="shared" si="574"/>
        <v>0</v>
      </c>
      <c r="BA94" s="25">
        <f t="shared" si="794"/>
        <v>0</v>
      </c>
      <c r="BB94" s="58">
        <f t="shared" si="795"/>
        <v>0</v>
      </c>
      <c r="BC94" s="25">
        <f t="shared" si="778"/>
        <v>0</v>
      </c>
      <c r="BD94" s="25">
        <f>AB94*BA1</f>
        <v>3432</v>
      </c>
      <c r="BE94" s="25">
        <f t="shared" si="779"/>
        <v>41184</v>
      </c>
      <c r="BF94" s="129">
        <f>BE94</f>
        <v>41184</v>
      </c>
      <c r="BG94" s="129">
        <f t="shared" si="753"/>
        <v>3432</v>
      </c>
      <c r="BH94" s="25"/>
      <c r="BI94" s="58">
        <f t="shared" si="754"/>
        <v>0</v>
      </c>
      <c r="BJ94" s="25"/>
      <c r="BK94" s="58">
        <f t="shared" si="754"/>
        <v>0</v>
      </c>
      <c r="BL94" s="25"/>
      <c r="BM94" s="58">
        <f t="shared" ref="BM94" si="1017">BL94/$BG94</f>
        <v>0</v>
      </c>
      <c r="BN94" s="25"/>
      <c r="BO94" s="58">
        <f t="shared" ref="BO94" si="1018">BN94/$BG94</f>
        <v>0</v>
      </c>
      <c r="BP94" s="25">
        <f>2554-550</f>
        <v>2004</v>
      </c>
      <c r="BQ94" s="58">
        <f t="shared" ref="BQ94" si="1019">BP94/$BG94</f>
        <v>0.58391608391608396</v>
      </c>
      <c r="BR94" s="25">
        <v>1127.96</v>
      </c>
      <c r="BS94" s="58">
        <f t="shared" ref="BS94" si="1020">BR94/$BG94</f>
        <v>0.32865967365967369</v>
      </c>
      <c r="BT94" s="25">
        <v>1173.32</v>
      </c>
      <c r="BU94" s="58">
        <f t="shared" ref="BU94" si="1021">BT94/$BG94</f>
        <v>0.34187645687645685</v>
      </c>
      <c r="BV94" s="25">
        <v>353</v>
      </c>
      <c r="BW94" s="58">
        <f t="shared" ref="BW94" si="1022">BV94/$BG94</f>
        <v>0.10285547785547786</v>
      </c>
      <c r="BX94" s="25"/>
      <c r="BY94" s="58">
        <f t="shared" ref="BY94" si="1023">BX94/$BG94</f>
        <v>0</v>
      </c>
      <c r="BZ94" s="25"/>
      <c r="CA94" s="58">
        <f t="shared" ref="CA94" si="1024">BZ94/$BG94</f>
        <v>0</v>
      </c>
      <c r="CB94" s="25"/>
      <c r="CC94" s="58">
        <f t="shared" ref="CC94" si="1025">CB94/$BG94</f>
        <v>0</v>
      </c>
      <c r="CD94" s="25"/>
      <c r="CE94" s="58">
        <f t="shared" ref="CE94" si="1026">CD94/$BG94</f>
        <v>0</v>
      </c>
      <c r="CF94" s="25">
        <f t="shared" ref="CF94:CF107" si="1027">BH94+BJ94+BL94+BN94+BP94+BR94+BT94+BV94+BX94+BZ94+CB94+CD94</f>
        <v>4658.28</v>
      </c>
      <c r="CG94" s="58">
        <f t="shared" si="834"/>
        <v>0.11310897435897435</v>
      </c>
    </row>
    <row r="95" spans="1:85" ht="15.75" x14ac:dyDescent="0.25">
      <c r="A95" s="44" t="s">
        <v>69</v>
      </c>
      <c r="B95" s="25">
        <v>5308.5999999999995</v>
      </c>
      <c r="C95" s="26">
        <v>4419</v>
      </c>
      <c r="D95" s="26">
        <v>5892</v>
      </c>
      <c r="E95" s="25">
        <v>6186.6</v>
      </c>
      <c r="F95" s="25">
        <f t="shared" si="290"/>
        <v>515.55000000000007</v>
      </c>
      <c r="G95" s="25"/>
      <c r="H95" s="58">
        <f t="shared" si="806"/>
        <v>0</v>
      </c>
      <c r="I95" s="25"/>
      <c r="J95" s="58">
        <f t="shared" si="807"/>
        <v>0</v>
      </c>
      <c r="K95" s="25"/>
      <c r="L95" s="58">
        <f t="shared" si="808"/>
        <v>0</v>
      </c>
      <c r="M95" s="25"/>
      <c r="N95" s="58">
        <f t="shared" si="809"/>
        <v>0</v>
      </c>
      <c r="O95" s="64"/>
      <c r="P95" s="58">
        <f t="shared" si="790"/>
        <v>0</v>
      </c>
      <c r="Q95" s="64"/>
      <c r="R95" s="58">
        <f t="shared" si="511"/>
        <v>0</v>
      </c>
      <c r="S95" s="64"/>
      <c r="T95" s="58">
        <f t="shared" si="512"/>
        <v>0</v>
      </c>
      <c r="U95" s="64">
        <v>243.99</v>
      </c>
      <c r="V95" s="58">
        <f t="shared" si="513"/>
        <v>0.47326156531859176</v>
      </c>
      <c r="W95" s="64">
        <v>3608.5</v>
      </c>
      <c r="X95" s="58">
        <f t="shared" si="881"/>
        <v>6.9993211133740658</v>
      </c>
      <c r="Y95" s="25">
        <f t="shared" si="791"/>
        <v>3852.49</v>
      </c>
      <c r="Z95" s="58">
        <f t="shared" si="810"/>
        <v>0.6227152232243881</v>
      </c>
      <c r="AA95" s="25">
        <f t="shared" si="792"/>
        <v>428.05444444444441</v>
      </c>
      <c r="AB95" s="25">
        <v>450</v>
      </c>
      <c r="AD95" s="69"/>
      <c r="AG95" s="25"/>
      <c r="AH95" s="58">
        <f t="shared" si="765"/>
        <v>0</v>
      </c>
      <c r="AI95" s="25"/>
      <c r="AJ95" s="58">
        <f t="shared" ref="AJ95" si="1028">AI95/$AB95</f>
        <v>0</v>
      </c>
      <c r="AK95" s="25"/>
      <c r="AL95" s="58">
        <f t="shared" si="516"/>
        <v>0</v>
      </c>
      <c r="AM95" s="25"/>
      <c r="AN95" s="58">
        <f t="shared" si="517"/>
        <v>0</v>
      </c>
      <c r="AO95" s="25"/>
      <c r="AP95" s="58">
        <f t="shared" si="518"/>
        <v>0</v>
      </c>
      <c r="AQ95" s="25"/>
      <c r="AR95" s="58">
        <f t="shared" si="519"/>
        <v>0</v>
      </c>
      <c r="AS95" s="25"/>
      <c r="AT95" s="58">
        <f t="shared" si="571"/>
        <v>0</v>
      </c>
      <c r="AU95" s="25"/>
      <c r="AV95" s="58">
        <f t="shared" si="572"/>
        <v>0</v>
      </c>
      <c r="AW95" s="25"/>
      <c r="AX95" s="58">
        <f t="shared" si="573"/>
        <v>0</v>
      </c>
      <c r="AY95" s="25"/>
      <c r="AZ95" s="58">
        <f t="shared" si="574"/>
        <v>0</v>
      </c>
      <c r="BA95" s="25">
        <f t="shared" si="794"/>
        <v>0</v>
      </c>
      <c r="BB95" s="58">
        <f t="shared" si="795"/>
        <v>0</v>
      </c>
      <c r="BC95" s="25">
        <f t="shared" si="778"/>
        <v>0</v>
      </c>
      <c r="BD95" s="25">
        <f>AB95*BA1</f>
        <v>468</v>
      </c>
      <c r="BE95" s="25">
        <f t="shared" si="779"/>
        <v>5616</v>
      </c>
      <c r="BF95" s="129">
        <f t="shared" ref="BF95:BF98" si="1029">BE95</f>
        <v>5616</v>
      </c>
      <c r="BG95" s="129">
        <f t="shared" si="753"/>
        <v>468</v>
      </c>
      <c r="BH95" s="25"/>
      <c r="BI95" s="58">
        <f t="shared" si="754"/>
        <v>0</v>
      </c>
      <c r="BJ95" s="25"/>
      <c r="BK95" s="58">
        <f t="shared" si="754"/>
        <v>0</v>
      </c>
      <c r="BL95" s="25"/>
      <c r="BM95" s="58">
        <f t="shared" ref="BM95" si="1030">BL95/$BG95</f>
        <v>0</v>
      </c>
      <c r="BN95" s="25"/>
      <c r="BO95" s="58">
        <f t="shared" ref="BO95" si="1031">BN95/$BG95</f>
        <v>0</v>
      </c>
      <c r="BP95" s="25"/>
      <c r="BQ95" s="58">
        <f t="shared" ref="BQ95" si="1032">BP95/$BG95</f>
        <v>0</v>
      </c>
      <c r="BR95" s="25"/>
      <c r="BS95" s="58">
        <f t="shared" ref="BS95" si="1033">BR95/$BG95</f>
        <v>0</v>
      </c>
      <c r="BT95" s="25"/>
      <c r="BU95" s="58">
        <f t="shared" ref="BU95" si="1034">BT95/$BG95</f>
        <v>0</v>
      </c>
      <c r="BV95" s="25"/>
      <c r="BW95" s="58">
        <f t="shared" ref="BW95" si="1035">BV95/$BG95</f>
        <v>0</v>
      </c>
      <c r="BX95" s="25">
        <v>5604.91</v>
      </c>
      <c r="BY95" s="58">
        <f t="shared" ref="BY95" si="1036">BX95/$BG95</f>
        <v>11.976303418803418</v>
      </c>
      <c r="BZ95" s="25">
        <v>7539.14</v>
      </c>
      <c r="CA95" s="58">
        <f t="shared" ref="CA95" si="1037">BZ95/$BG95</f>
        <v>16.109273504273506</v>
      </c>
      <c r="CB95" s="25"/>
      <c r="CC95" s="58">
        <f t="shared" ref="CC95" si="1038">CB95/$BG95</f>
        <v>0</v>
      </c>
      <c r="CD95" s="25">
        <v>615.79999999999995</v>
      </c>
      <c r="CE95" s="58">
        <f t="shared" ref="CE95" si="1039">CD95/$BG95</f>
        <v>1.3158119658119658</v>
      </c>
      <c r="CF95" s="25">
        <f t="shared" si="1027"/>
        <v>13759.849999999999</v>
      </c>
      <c r="CG95" s="58">
        <f t="shared" si="834"/>
        <v>2.4501157407407406</v>
      </c>
    </row>
    <row r="96" spans="1:85" ht="15.75" x14ac:dyDescent="0.25">
      <c r="A96" s="44" t="s">
        <v>70</v>
      </c>
      <c r="B96" s="25">
        <v>13100</v>
      </c>
      <c r="C96" s="26"/>
      <c r="D96" s="26">
        <v>0</v>
      </c>
      <c r="E96" s="25"/>
      <c r="F96" s="25">
        <f t="shared" si="290"/>
        <v>0</v>
      </c>
      <c r="G96" s="25"/>
      <c r="H96" s="58"/>
      <c r="I96" s="25"/>
      <c r="J96" s="58"/>
      <c r="K96" s="25"/>
      <c r="L96" s="58"/>
      <c r="M96" s="25"/>
      <c r="N96" s="58" t="e">
        <f t="shared" si="809"/>
        <v>#DIV/0!</v>
      </c>
      <c r="O96" s="64"/>
      <c r="P96" s="58" t="e">
        <f t="shared" si="790"/>
        <v>#DIV/0!</v>
      </c>
      <c r="Q96" s="64"/>
      <c r="R96" s="58" t="e">
        <f t="shared" si="511"/>
        <v>#DIV/0!</v>
      </c>
      <c r="S96" s="64"/>
      <c r="T96" s="58" t="e">
        <f t="shared" si="512"/>
        <v>#DIV/0!</v>
      </c>
      <c r="U96" s="64"/>
      <c r="V96" s="58" t="e">
        <f t="shared" si="513"/>
        <v>#DIV/0!</v>
      </c>
      <c r="W96" s="64"/>
      <c r="X96" s="58" t="e">
        <f t="shared" si="881"/>
        <v>#DIV/0!</v>
      </c>
      <c r="Y96" s="25">
        <f t="shared" si="791"/>
        <v>0</v>
      </c>
      <c r="Z96" s="58"/>
      <c r="AA96" s="25">
        <f t="shared" si="792"/>
        <v>0</v>
      </c>
      <c r="AB96" s="71">
        <v>0</v>
      </c>
      <c r="AD96" s="69"/>
      <c r="AG96" s="25"/>
      <c r="AH96" s="58" t="e">
        <f t="shared" si="765"/>
        <v>#DIV/0!</v>
      </c>
      <c r="AI96" s="25"/>
      <c r="AJ96" s="58" t="e">
        <f t="shared" ref="AJ96" si="1040">AI96/$AB96</f>
        <v>#DIV/0!</v>
      </c>
      <c r="AK96" s="25"/>
      <c r="AL96" s="58" t="e">
        <f t="shared" si="516"/>
        <v>#DIV/0!</v>
      </c>
      <c r="AM96" s="25"/>
      <c r="AN96" s="58" t="e">
        <f t="shared" si="517"/>
        <v>#DIV/0!</v>
      </c>
      <c r="AO96" s="25"/>
      <c r="AP96" s="58" t="e">
        <f t="shared" si="518"/>
        <v>#DIV/0!</v>
      </c>
      <c r="AQ96" s="25"/>
      <c r="AR96" s="58" t="e">
        <f t="shared" si="519"/>
        <v>#DIV/0!</v>
      </c>
      <c r="AS96" s="25"/>
      <c r="AT96" s="58" t="e">
        <f t="shared" si="571"/>
        <v>#DIV/0!</v>
      </c>
      <c r="AU96" s="25"/>
      <c r="AV96" s="58" t="e">
        <f t="shared" si="572"/>
        <v>#DIV/0!</v>
      </c>
      <c r="AW96" s="25"/>
      <c r="AX96" s="58" t="e">
        <f t="shared" si="573"/>
        <v>#DIV/0!</v>
      </c>
      <c r="AY96" s="25"/>
      <c r="AZ96" s="58" t="e">
        <f t="shared" si="574"/>
        <v>#DIV/0!</v>
      </c>
      <c r="BA96" s="25">
        <f t="shared" si="794"/>
        <v>0</v>
      </c>
      <c r="BB96" s="58" t="e">
        <f t="shared" si="795"/>
        <v>#DIV/0!</v>
      </c>
      <c r="BC96" s="25">
        <f t="shared" si="778"/>
        <v>0</v>
      </c>
      <c r="BD96" s="25">
        <v>0</v>
      </c>
      <c r="BE96" s="25">
        <f t="shared" si="779"/>
        <v>0</v>
      </c>
      <c r="BF96" s="129">
        <f t="shared" si="1029"/>
        <v>0</v>
      </c>
      <c r="BG96" s="129">
        <f t="shared" si="753"/>
        <v>0</v>
      </c>
      <c r="BH96" s="25"/>
      <c r="BI96" s="58">
        <v>0</v>
      </c>
      <c r="BJ96" s="25"/>
      <c r="BK96" s="58">
        <v>0</v>
      </c>
      <c r="BL96" s="25"/>
      <c r="BM96" s="58" t="e">
        <f t="shared" ref="BM96" si="1041">BL96/$BG96</f>
        <v>#DIV/0!</v>
      </c>
      <c r="BN96" s="25"/>
      <c r="BO96" s="58" t="e">
        <f t="shared" ref="BO96" si="1042">BN96/$BG96</f>
        <v>#DIV/0!</v>
      </c>
      <c r="BP96" s="25"/>
      <c r="BQ96" s="58" t="e">
        <f t="shared" ref="BQ96" si="1043">BP96/$BG96</f>
        <v>#DIV/0!</v>
      </c>
      <c r="BR96" s="25"/>
      <c r="BS96" s="58" t="e">
        <f t="shared" ref="BS96" si="1044">BR96/$BG96</f>
        <v>#DIV/0!</v>
      </c>
      <c r="BT96" s="25"/>
      <c r="BU96" s="58" t="e">
        <f t="shared" ref="BU96" si="1045">BT96/$BG96</f>
        <v>#DIV/0!</v>
      </c>
      <c r="BV96" s="25"/>
      <c r="BW96" s="58" t="e">
        <f t="shared" ref="BW96" si="1046">BV96/$BG96</f>
        <v>#DIV/0!</v>
      </c>
      <c r="BX96" s="25"/>
      <c r="BY96" s="58" t="e">
        <f t="shared" ref="BY96" si="1047">BX96/$BG96</f>
        <v>#DIV/0!</v>
      </c>
      <c r="BZ96" s="25"/>
      <c r="CA96" s="58" t="e">
        <f t="shared" ref="CA96" si="1048">BZ96/$BG96</f>
        <v>#DIV/0!</v>
      </c>
      <c r="CB96" s="25"/>
      <c r="CC96" s="58" t="e">
        <f t="shared" ref="CC96" si="1049">CB96/$BG96</f>
        <v>#DIV/0!</v>
      </c>
      <c r="CD96" s="25"/>
      <c r="CE96" s="58" t="e">
        <f t="shared" ref="CE96" si="1050">CD96/$BG96</f>
        <v>#DIV/0!</v>
      </c>
      <c r="CF96" s="25">
        <f t="shared" si="1027"/>
        <v>0</v>
      </c>
      <c r="CG96" s="58" t="e">
        <f t="shared" si="834"/>
        <v>#DIV/0!</v>
      </c>
    </row>
    <row r="97" spans="1:85" ht="15.75" x14ac:dyDescent="0.25">
      <c r="A97" s="44" t="s">
        <v>71</v>
      </c>
      <c r="B97" s="25">
        <v>9718.5</v>
      </c>
      <c r="C97" s="26">
        <v>1400</v>
      </c>
      <c r="D97" s="26">
        <v>7290.48</v>
      </c>
      <c r="E97" s="25">
        <v>7655.0039999999999</v>
      </c>
      <c r="F97" s="25">
        <f t="shared" si="290"/>
        <v>637.91700000000003</v>
      </c>
      <c r="G97" s="25"/>
      <c r="H97" s="58">
        <f t="shared" si="806"/>
        <v>0</v>
      </c>
      <c r="I97" s="25"/>
      <c r="J97" s="58">
        <f t="shared" si="807"/>
        <v>0</v>
      </c>
      <c r="K97" s="25"/>
      <c r="L97" s="58">
        <f t="shared" si="808"/>
        <v>0</v>
      </c>
      <c r="M97" s="25"/>
      <c r="N97" s="58">
        <f t="shared" si="809"/>
        <v>0</v>
      </c>
      <c r="O97" s="64"/>
      <c r="P97" s="58">
        <f t="shared" si="790"/>
        <v>0</v>
      </c>
      <c r="Q97" s="64"/>
      <c r="R97" s="58">
        <f t="shared" si="511"/>
        <v>0</v>
      </c>
      <c r="S97" s="64"/>
      <c r="T97" s="58">
        <f t="shared" si="512"/>
        <v>0</v>
      </c>
      <c r="U97" s="64"/>
      <c r="V97" s="58">
        <f t="shared" si="513"/>
        <v>0</v>
      </c>
      <c r="W97" s="64"/>
      <c r="X97" s="58">
        <f t="shared" si="881"/>
        <v>0</v>
      </c>
      <c r="Y97" s="25">
        <f t="shared" si="791"/>
        <v>0</v>
      </c>
      <c r="Z97" s="58">
        <f t="shared" si="810"/>
        <v>0</v>
      </c>
      <c r="AA97" s="25">
        <f t="shared" si="792"/>
        <v>0</v>
      </c>
      <c r="AB97" s="71">
        <v>170</v>
      </c>
      <c r="AD97" s="69"/>
      <c r="AE97" t="s">
        <v>144</v>
      </c>
      <c r="AG97" s="25"/>
      <c r="AH97" s="58">
        <f t="shared" si="765"/>
        <v>0</v>
      </c>
      <c r="AI97" s="25"/>
      <c r="AJ97" s="58">
        <f t="shared" ref="AJ97" si="1051">AI97/$AB97</f>
        <v>0</v>
      </c>
      <c r="AK97" s="25"/>
      <c r="AL97" s="58">
        <f t="shared" si="516"/>
        <v>0</v>
      </c>
      <c r="AM97" s="25"/>
      <c r="AN97" s="58">
        <f t="shared" si="517"/>
        <v>0</v>
      </c>
      <c r="AO97" s="25"/>
      <c r="AP97" s="58">
        <f t="shared" si="518"/>
        <v>0</v>
      </c>
      <c r="AQ97" s="25"/>
      <c r="AR97" s="58">
        <f t="shared" si="519"/>
        <v>0</v>
      </c>
      <c r="AS97" s="25"/>
      <c r="AT97" s="58">
        <f t="shared" si="571"/>
        <v>0</v>
      </c>
      <c r="AU97" s="25"/>
      <c r="AV97" s="58">
        <f t="shared" si="572"/>
        <v>0</v>
      </c>
      <c r="AW97" s="25"/>
      <c r="AX97" s="58">
        <f t="shared" si="573"/>
        <v>0</v>
      </c>
      <c r="AY97" s="25"/>
      <c r="AZ97" s="58">
        <f t="shared" si="574"/>
        <v>0</v>
      </c>
      <c r="BA97" s="25">
        <f t="shared" si="794"/>
        <v>0</v>
      </c>
      <c r="BB97" s="58">
        <f t="shared" si="795"/>
        <v>0</v>
      </c>
      <c r="BC97" s="25">
        <f t="shared" si="778"/>
        <v>0</v>
      </c>
      <c r="BD97" s="25">
        <f>AB97*BA1</f>
        <v>176.8</v>
      </c>
      <c r="BE97" s="25">
        <f t="shared" si="779"/>
        <v>2121.6000000000004</v>
      </c>
      <c r="BF97" s="129">
        <f t="shared" si="1029"/>
        <v>2121.6000000000004</v>
      </c>
      <c r="BG97" s="129">
        <f t="shared" si="753"/>
        <v>176.80000000000004</v>
      </c>
      <c r="BH97" s="25"/>
      <c r="BI97" s="58">
        <f t="shared" si="754"/>
        <v>0</v>
      </c>
      <c r="BJ97" s="25"/>
      <c r="BK97" s="58">
        <f t="shared" si="754"/>
        <v>0</v>
      </c>
      <c r="BL97" s="25"/>
      <c r="BM97" s="58">
        <f t="shared" ref="BM97" si="1052">BL97/$BG97</f>
        <v>0</v>
      </c>
      <c r="BN97" s="25"/>
      <c r="BO97" s="58">
        <f t="shared" ref="BO97" si="1053">BN97/$BG97</f>
        <v>0</v>
      </c>
      <c r="BP97" s="25"/>
      <c r="BQ97" s="58">
        <f t="shared" ref="BQ97" si="1054">BP97/$BG97</f>
        <v>0</v>
      </c>
      <c r="BR97" s="25"/>
      <c r="BS97" s="58">
        <f t="shared" ref="BS97" si="1055">BR97/$BG97</f>
        <v>0</v>
      </c>
      <c r="BT97" s="25"/>
      <c r="BU97" s="58">
        <f t="shared" ref="BU97" si="1056">BT97/$BG97</f>
        <v>0</v>
      </c>
      <c r="BV97" s="25"/>
      <c r="BW97" s="58">
        <f t="shared" ref="BW97" si="1057">BV97/$BG97</f>
        <v>0</v>
      </c>
      <c r="BX97" s="25"/>
      <c r="BY97" s="58">
        <f t="shared" ref="BY97" si="1058">BX97/$BG97</f>
        <v>0</v>
      </c>
      <c r="BZ97" s="25">
        <v>90.9</v>
      </c>
      <c r="CA97" s="58">
        <f t="shared" ref="CA97" si="1059">BZ97/$BG97</f>
        <v>0.51414027149321262</v>
      </c>
      <c r="CB97" s="25"/>
      <c r="CC97" s="58">
        <f t="shared" ref="CC97" si="1060">CB97/$BG97</f>
        <v>0</v>
      </c>
      <c r="CD97" s="25"/>
      <c r="CE97" s="58">
        <f t="shared" ref="CE97" si="1061">CD97/$BG97</f>
        <v>0</v>
      </c>
      <c r="CF97" s="25">
        <f t="shared" si="1027"/>
        <v>90.9</v>
      </c>
      <c r="CG97" s="58">
        <f t="shared" si="834"/>
        <v>4.2845022624434383E-2</v>
      </c>
    </row>
    <row r="98" spans="1:85" ht="15.75" x14ac:dyDescent="0.25">
      <c r="A98" s="44" t="s">
        <v>72</v>
      </c>
      <c r="B98" s="25">
        <v>7314.9999999999991</v>
      </c>
      <c r="C98" s="26">
        <v>1160</v>
      </c>
      <c r="D98" s="26">
        <v>4046.6666666666665</v>
      </c>
      <c r="E98" s="25">
        <v>4249</v>
      </c>
      <c r="F98" s="25">
        <f t="shared" si="290"/>
        <v>354.08333333333331</v>
      </c>
      <c r="G98" s="25"/>
      <c r="H98" s="58">
        <f t="shared" si="806"/>
        <v>0</v>
      </c>
      <c r="I98" s="25">
        <v>840</v>
      </c>
      <c r="J98" s="58">
        <f t="shared" si="807"/>
        <v>2.3723228995057664</v>
      </c>
      <c r="K98" s="25"/>
      <c r="L98" s="58">
        <f t="shared" si="808"/>
        <v>0</v>
      </c>
      <c r="M98" s="25"/>
      <c r="N98" s="58">
        <f t="shared" si="809"/>
        <v>0</v>
      </c>
      <c r="O98" s="64"/>
      <c r="P98" s="58">
        <f t="shared" si="790"/>
        <v>0</v>
      </c>
      <c r="Q98" s="64"/>
      <c r="R98" s="58">
        <f t="shared" si="511"/>
        <v>0</v>
      </c>
      <c r="S98" s="64"/>
      <c r="T98" s="58">
        <f t="shared" si="512"/>
        <v>0</v>
      </c>
      <c r="U98" s="64"/>
      <c r="V98" s="58">
        <f t="shared" si="513"/>
        <v>0</v>
      </c>
      <c r="W98" s="64">
        <v>420</v>
      </c>
      <c r="X98" s="58">
        <f t="shared" si="881"/>
        <v>1.1861614497528832</v>
      </c>
      <c r="Y98" s="25">
        <f t="shared" si="791"/>
        <v>1260</v>
      </c>
      <c r="Z98" s="58">
        <f t="shared" si="810"/>
        <v>0.29654036243822074</v>
      </c>
      <c r="AA98" s="25">
        <f t="shared" si="792"/>
        <v>140</v>
      </c>
      <c r="AB98" s="71">
        <v>600</v>
      </c>
      <c r="AD98" s="69">
        <f t="shared" si="847"/>
        <v>4.2857142857142856</v>
      </c>
      <c r="AE98" t="s">
        <v>154</v>
      </c>
      <c r="AG98" s="25"/>
      <c r="AH98" s="58">
        <f t="shared" si="765"/>
        <v>0</v>
      </c>
      <c r="AI98" s="25">
        <v>840</v>
      </c>
      <c r="AJ98" s="58">
        <f t="shared" ref="AJ98" si="1062">AI98/$AB98</f>
        <v>1.4</v>
      </c>
      <c r="AK98" s="25"/>
      <c r="AL98" s="58">
        <f t="shared" si="516"/>
        <v>0</v>
      </c>
      <c r="AM98" s="25"/>
      <c r="AN98" s="58">
        <f t="shared" si="517"/>
        <v>0</v>
      </c>
      <c r="AO98" s="25"/>
      <c r="AP98" s="58">
        <f t="shared" si="518"/>
        <v>0</v>
      </c>
      <c r="AQ98" s="25"/>
      <c r="AR98" s="58">
        <f t="shared" si="519"/>
        <v>0</v>
      </c>
      <c r="AS98" s="25"/>
      <c r="AT98" s="58">
        <f t="shared" si="571"/>
        <v>0</v>
      </c>
      <c r="AU98" s="25"/>
      <c r="AV98" s="58">
        <f t="shared" si="572"/>
        <v>0</v>
      </c>
      <c r="AW98" s="25"/>
      <c r="AX98" s="58">
        <f t="shared" si="573"/>
        <v>0</v>
      </c>
      <c r="AY98" s="25"/>
      <c r="AZ98" s="58">
        <f t="shared" si="574"/>
        <v>0</v>
      </c>
      <c r="BA98" s="25">
        <f t="shared" si="794"/>
        <v>840</v>
      </c>
      <c r="BB98" s="58">
        <f t="shared" si="795"/>
        <v>0.11666666666666667</v>
      </c>
      <c r="BC98" s="25">
        <f t="shared" si="778"/>
        <v>93.333333333333329</v>
      </c>
      <c r="BD98" s="25">
        <f>AB98*BA1</f>
        <v>624</v>
      </c>
      <c r="BE98" s="25">
        <f t="shared" si="779"/>
        <v>7488</v>
      </c>
      <c r="BF98" s="129">
        <f t="shared" si="1029"/>
        <v>7488</v>
      </c>
      <c r="BG98" s="129">
        <f t="shared" si="753"/>
        <v>624</v>
      </c>
      <c r="BH98" s="25"/>
      <c r="BI98" s="58">
        <f t="shared" si="754"/>
        <v>0</v>
      </c>
      <c r="BJ98" s="25"/>
      <c r="BK98" s="58">
        <f t="shared" si="754"/>
        <v>0</v>
      </c>
      <c r="BL98" s="25"/>
      <c r="BM98" s="58">
        <f t="shared" ref="BM98" si="1063">BL98/$BG98</f>
        <v>0</v>
      </c>
      <c r="BN98" s="25"/>
      <c r="BO98" s="58">
        <f t="shared" ref="BO98" si="1064">BN98/$BG98</f>
        <v>0</v>
      </c>
      <c r="BP98" s="25"/>
      <c r="BQ98" s="58">
        <f t="shared" ref="BQ98" si="1065">BP98/$BG98</f>
        <v>0</v>
      </c>
      <c r="BR98" s="25"/>
      <c r="BS98" s="58">
        <f t="shared" ref="BS98" si="1066">BR98/$BG98</f>
        <v>0</v>
      </c>
      <c r="BT98" s="25"/>
      <c r="BU98" s="58">
        <f t="shared" ref="BU98" si="1067">BT98/$BG98</f>
        <v>0</v>
      </c>
      <c r="BV98" s="25"/>
      <c r="BW98" s="58">
        <f t="shared" ref="BW98" si="1068">BV98/$BG98</f>
        <v>0</v>
      </c>
      <c r="BX98" s="25"/>
      <c r="BY98" s="58">
        <f t="shared" ref="BY98" si="1069">BX98/$BG98</f>
        <v>0</v>
      </c>
      <c r="BZ98" s="25"/>
      <c r="CA98" s="58">
        <f t="shared" ref="CA98" si="1070">BZ98/$BG98</f>
        <v>0</v>
      </c>
      <c r="CB98" s="25">
        <v>6810</v>
      </c>
      <c r="CC98" s="58">
        <f t="shared" ref="CC98" si="1071">CB98/$BG98</f>
        <v>10.913461538461538</v>
      </c>
      <c r="CD98" s="25">
        <v>577.97</v>
      </c>
      <c r="CE98" s="58">
        <f t="shared" ref="CE98" si="1072">CD98/$BG98</f>
        <v>0.92623397435897437</v>
      </c>
      <c r="CF98" s="25">
        <f t="shared" si="1027"/>
        <v>7387.97</v>
      </c>
      <c r="CG98" s="58">
        <f t="shared" si="834"/>
        <v>0.98664129273504275</v>
      </c>
    </row>
    <row r="99" spans="1:85" ht="15.75" x14ac:dyDescent="0.25">
      <c r="A99" s="44" t="s">
        <v>73</v>
      </c>
      <c r="B99" s="25">
        <v>7500</v>
      </c>
      <c r="C99" s="26">
        <v>1407.7</v>
      </c>
      <c r="D99" s="26">
        <v>10000</v>
      </c>
      <c r="E99" s="25">
        <v>10000</v>
      </c>
      <c r="F99" s="25">
        <f t="shared" si="290"/>
        <v>833.33333333333337</v>
      </c>
      <c r="G99" s="25"/>
      <c r="H99" s="58">
        <f t="shared" si="806"/>
        <v>0</v>
      </c>
      <c r="I99" s="25"/>
      <c r="J99" s="58">
        <f t="shared" si="807"/>
        <v>0</v>
      </c>
      <c r="K99" s="25"/>
      <c r="L99" s="58">
        <f t="shared" si="808"/>
        <v>0</v>
      </c>
      <c r="M99" s="25"/>
      <c r="N99" s="58">
        <f t="shared" si="809"/>
        <v>0</v>
      </c>
      <c r="O99" s="64"/>
      <c r="P99" s="58">
        <f t="shared" si="790"/>
        <v>0</v>
      </c>
      <c r="Q99" s="64"/>
      <c r="R99" s="58">
        <f t="shared" si="511"/>
        <v>0</v>
      </c>
      <c r="S99" s="64"/>
      <c r="T99" s="58">
        <f t="shared" si="512"/>
        <v>0</v>
      </c>
      <c r="U99" s="64"/>
      <c r="V99" s="58">
        <f t="shared" si="513"/>
        <v>0</v>
      </c>
      <c r="W99" s="64"/>
      <c r="X99" s="58">
        <f t="shared" si="881"/>
        <v>0</v>
      </c>
      <c r="Y99" s="25">
        <f t="shared" si="791"/>
        <v>0</v>
      </c>
      <c r="Z99" s="58">
        <f t="shared" si="810"/>
        <v>0</v>
      </c>
      <c r="AA99" s="25">
        <f t="shared" si="792"/>
        <v>0</v>
      </c>
      <c r="AB99" s="71">
        <v>875</v>
      </c>
      <c r="AD99" s="69"/>
      <c r="AG99" s="25"/>
      <c r="AH99" s="58">
        <f t="shared" si="765"/>
        <v>0</v>
      </c>
      <c r="AI99" s="25">
        <v>4185</v>
      </c>
      <c r="AJ99" s="58">
        <f t="shared" ref="AJ99" si="1073">AI99/$AB99</f>
        <v>4.7828571428571429</v>
      </c>
      <c r="AK99" s="25"/>
      <c r="AL99" s="58">
        <f t="shared" si="516"/>
        <v>0</v>
      </c>
      <c r="AM99" s="25"/>
      <c r="AN99" s="58">
        <f t="shared" si="517"/>
        <v>0</v>
      </c>
      <c r="AO99" s="25"/>
      <c r="AP99" s="58">
        <f t="shared" si="518"/>
        <v>0</v>
      </c>
      <c r="AQ99" s="25"/>
      <c r="AR99" s="58">
        <f t="shared" si="519"/>
        <v>0</v>
      </c>
      <c r="AS99" s="25"/>
      <c r="AT99" s="58">
        <f t="shared" si="571"/>
        <v>0</v>
      </c>
      <c r="AU99" s="25"/>
      <c r="AV99" s="58">
        <f t="shared" si="572"/>
        <v>0</v>
      </c>
      <c r="AW99" s="25">
        <v>267.13</v>
      </c>
      <c r="AX99" s="58">
        <f t="shared" si="573"/>
        <v>0.30529142857142855</v>
      </c>
      <c r="AY99" s="25"/>
      <c r="AZ99" s="58">
        <f t="shared" si="574"/>
        <v>0</v>
      </c>
      <c r="BA99" s="25">
        <f t="shared" si="794"/>
        <v>4452.13</v>
      </c>
      <c r="BB99" s="58">
        <f t="shared" si="795"/>
        <v>0.42401238095238097</v>
      </c>
      <c r="BC99" s="25">
        <f t="shared" si="778"/>
        <v>494.68111111111114</v>
      </c>
      <c r="BD99" s="25">
        <f>AB99*BA1</f>
        <v>910</v>
      </c>
      <c r="BE99" s="25">
        <f t="shared" si="779"/>
        <v>10920</v>
      </c>
      <c r="BF99" s="129">
        <v>20000</v>
      </c>
      <c r="BG99" s="129">
        <f t="shared" si="753"/>
        <v>1666.6666666666667</v>
      </c>
      <c r="BH99" s="25"/>
      <c r="BI99" s="58">
        <f t="shared" si="754"/>
        <v>0</v>
      </c>
      <c r="BJ99" s="25"/>
      <c r="BK99" s="58">
        <f t="shared" si="754"/>
        <v>0</v>
      </c>
      <c r="BL99" s="25"/>
      <c r="BM99" s="58">
        <f t="shared" ref="BM99" si="1074">BL99/$BG99</f>
        <v>0</v>
      </c>
      <c r="BN99" s="25"/>
      <c r="BO99" s="58">
        <f t="shared" ref="BO99" si="1075">BN99/$BG99</f>
        <v>0</v>
      </c>
      <c r="BP99" s="25"/>
      <c r="BQ99" s="58">
        <f t="shared" ref="BQ99" si="1076">BP99/$BG99</f>
        <v>0</v>
      </c>
      <c r="BR99" s="25"/>
      <c r="BS99" s="58">
        <f t="shared" ref="BS99" si="1077">BR99/$BG99</f>
        <v>0</v>
      </c>
      <c r="BT99" s="25"/>
      <c r="BU99" s="58">
        <f t="shared" ref="BU99" si="1078">BT99/$BG99</f>
        <v>0</v>
      </c>
      <c r="BV99" s="25"/>
      <c r="BW99" s="58">
        <f t="shared" ref="BW99" si="1079">BV99/$BG99</f>
        <v>0</v>
      </c>
      <c r="BX99" s="25"/>
      <c r="BY99" s="58">
        <f t="shared" ref="BY99" si="1080">BX99/$BG99</f>
        <v>0</v>
      </c>
      <c r="BZ99" s="25"/>
      <c r="CA99" s="58">
        <f t="shared" ref="CA99" si="1081">BZ99/$BG99</f>
        <v>0</v>
      </c>
      <c r="CB99" s="25">
        <v>7176.7</v>
      </c>
      <c r="CC99" s="58">
        <f t="shared" ref="CC99" si="1082">CB99/$BG99</f>
        <v>4.3060199999999993</v>
      </c>
      <c r="CD99" s="25">
        <v>25722.86</v>
      </c>
      <c r="CE99" s="58">
        <f t="shared" ref="CE99" si="1083">CD99/$BG99</f>
        <v>15.433716</v>
      </c>
      <c r="CF99" s="25">
        <f t="shared" si="1027"/>
        <v>32899.56</v>
      </c>
      <c r="CG99" s="58">
        <f t="shared" si="834"/>
        <v>1.6449779999999998</v>
      </c>
    </row>
    <row r="100" spans="1:85" ht="15.75" x14ac:dyDescent="0.25">
      <c r="A100" s="44" t="s">
        <v>145</v>
      </c>
      <c r="B100" s="25"/>
      <c r="C100" s="26"/>
      <c r="D100" s="26"/>
      <c r="E100" s="25"/>
      <c r="F100" s="25"/>
      <c r="G100" s="25"/>
      <c r="H100" s="58"/>
      <c r="I100" s="25"/>
      <c r="J100" s="58"/>
      <c r="K100" s="25"/>
      <c r="L100" s="58"/>
      <c r="M100" s="25"/>
      <c r="N100" s="58"/>
      <c r="O100" s="64"/>
      <c r="P100" s="58"/>
      <c r="Q100" s="64"/>
      <c r="R100" s="58"/>
      <c r="S100" s="64"/>
      <c r="T100" s="58"/>
      <c r="U100" s="64"/>
      <c r="V100" s="58"/>
      <c r="W100" s="64"/>
      <c r="X100" s="58"/>
      <c r="Y100" s="25"/>
      <c r="Z100" s="58"/>
      <c r="AA100" s="25"/>
      <c r="AB100" s="71">
        <v>166.66</v>
      </c>
      <c r="AD100" s="69"/>
      <c r="AG100" s="25"/>
      <c r="AH100" s="58">
        <f t="shared" si="765"/>
        <v>0</v>
      </c>
      <c r="AI100" s="25"/>
      <c r="AJ100" s="58">
        <f t="shared" ref="AJ100" si="1084">AI100/$AB100</f>
        <v>0</v>
      </c>
      <c r="AK100" s="25"/>
      <c r="AL100" s="58">
        <f t="shared" si="516"/>
        <v>0</v>
      </c>
      <c r="AM100" s="25">
        <v>119.96</v>
      </c>
      <c r="AN100" s="58">
        <f t="shared" si="517"/>
        <v>0.71978879155166209</v>
      </c>
      <c r="AO100" s="25"/>
      <c r="AP100" s="58">
        <f t="shared" si="518"/>
        <v>0</v>
      </c>
      <c r="AQ100" s="25"/>
      <c r="AR100" s="58">
        <f t="shared" si="519"/>
        <v>0</v>
      </c>
      <c r="AS100" s="25"/>
      <c r="AT100" s="58">
        <f t="shared" si="571"/>
        <v>0</v>
      </c>
      <c r="AU100" s="25"/>
      <c r="AV100" s="58">
        <f t="shared" si="572"/>
        <v>0</v>
      </c>
      <c r="AW100" s="25"/>
      <c r="AX100" s="58">
        <f t="shared" si="573"/>
        <v>0</v>
      </c>
      <c r="AY100" s="25"/>
      <c r="AZ100" s="58">
        <f t="shared" si="574"/>
        <v>0</v>
      </c>
      <c r="BA100" s="25">
        <f t="shared" si="794"/>
        <v>119.96</v>
      </c>
      <c r="BB100" s="58">
        <f t="shared" si="795"/>
        <v>5.9982399295971836E-2</v>
      </c>
      <c r="BC100" s="25">
        <f t="shared" si="778"/>
        <v>13.328888888888889</v>
      </c>
      <c r="BD100" s="25">
        <f>AB100*BA1</f>
        <v>173.32640000000001</v>
      </c>
      <c r="BE100" s="25">
        <f t="shared" si="779"/>
        <v>2079.9168</v>
      </c>
      <c r="BF100" s="129">
        <f>BE100</f>
        <v>2079.9168</v>
      </c>
      <c r="BG100" s="129">
        <f t="shared" si="753"/>
        <v>173.32640000000001</v>
      </c>
      <c r="BH100" s="25"/>
      <c r="BI100" s="58">
        <f t="shared" si="754"/>
        <v>0</v>
      </c>
      <c r="BJ100" s="25"/>
      <c r="BK100" s="58">
        <f t="shared" si="754"/>
        <v>0</v>
      </c>
      <c r="BL100" s="25"/>
      <c r="BM100" s="58">
        <f t="shared" ref="BM100" si="1085">BL100/$BG100</f>
        <v>0</v>
      </c>
      <c r="BN100" s="25"/>
      <c r="BO100" s="58">
        <f t="shared" ref="BO100" si="1086">BN100/$BG100</f>
        <v>0</v>
      </c>
      <c r="BP100" s="25"/>
      <c r="BQ100" s="58">
        <f t="shared" ref="BQ100" si="1087">BP100/$BG100</f>
        <v>0</v>
      </c>
      <c r="BR100" s="25"/>
      <c r="BS100" s="58">
        <f t="shared" ref="BS100" si="1088">BR100/$BG100</f>
        <v>0</v>
      </c>
      <c r="BT100" s="25"/>
      <c r="BU100" s="58">
        <f t="shared" ref="BU100" si="1089">BT100/$BG100</f>
        <v>0</v>
      </c>
      <c r="BV100" s="25"/>
      <c r="BW100" s="58">
        <f t="shared" ref="BW100" si="1090">BV100/$BG100</f>
        <v>0</v>
      </c>
      <c r="BX100" s="25"/>
      <c r="BY100" s="58">
        <f t="shared" ref="BY100" si="1091">BX100/$BG100</f>
        <v>0</v>
      </c>
      <c r="BZ100" s="25"/>
      <c r="CA100" s="58">
        <f t="shared" ref="CA100" si="1092">BZ100/$BG100</f>
        <v>0</v>
      </c>
      <c r="CB100" s="25"/>
      <c r="CC100" s="58">
        <f t="shared" ref="CC100" si="1093">CB100/$BG100</f>
        <v>0</v>
      </c>
      <c r="CD100" s="25"/>
      <c r="CE100" s="58">
        <f t="shared" ref="CE100" si="1094">CD100/$BG100</f>
        <v>0</v>
      </c>
      <c r="CF100" s="25">
        <f t="shared" si="1027"/>
        <v>0</v>
      </c>
      <c r="CG100" s="58">
        <f t="shared" si="834"/>
        <v>0</v>
      </c>
    </row>
    <row r="101" spans="1:85" ht="15.75" x14ac:dyDescent="0.25">
      <c r="A101" s="44" t="s">
        <v>146</v>
      </c>
      <c r="B101" s="25"/>
      <c r="C101" s="26"/>
      <c r="D101" s="26"/>
      <c r="E101" s="25"/>
      <c r="F101" s="25"/>
      <c r="G101" s="25"/>
      <c r="H101" s="58"/>
      <c r="I101" s="25"/>
      <c r="J101" s="58"/>
      <c r="K101" s="25"/>
      <c r="L101" s="58"/>
      <c r="M101" s="25"/>
      <c r="N101" s="58"/>
      <c r="O101" s="64"/>
      <c r="P101" s="58"/>
      <c r="Q101" s="64"/>
      <c r="R101" s="58"/>
      <c r="S101" s="64"/>
      <c r="T101" s="58"/>
      <c r="U101" s="64"/>
      <c r="V101" s="58"/>
      <c r="W101" s="64"/>
      <c r="X101" s="58"/>
      <c r="Y101" s="25"/>
      <c r="Z101" s="58"/>
      <c r="AA101" s="25"/>
      <c r="AB101" s="71">
        <v>166.66</v>
      </c>
      <c r="AD101" s="69"/>
      <c r="AG101" s="25"/>
      <c r="AH101" s="58">
        <f t="shared" si="765"/>
        <v>0</v>
      </c>
      <c r="AI101" s="25"/>
      <c r="AJ101" s="58">
        <f t="shared" ref="AJ101" si="1095">AI101/$AB101</f>
        <v>0</v>
      </c>
      <c r="AK101" s="25"/>
      <c r="AL101" s="58">
        <f t="shared" si="516"/>
        <v>0</v>
      </c>
      <c r="AM101" s="25"/>
      <c r="AN101" s="58">
        <f t="shared" si="517"/>
        <v>0</v>
      </c>
      <c r="AO101" s="25"/>
      <c r="AP101" s="58">
        <f t="shared" si="518"/>
        <v>0</v>
      </c>
      <c r="AQ101" s="25"/>
      <c r="AR101" s="58">
        <f t="shared" si="519"/>
        <v>0</v>
      </c>
      <c r="AS101" s="25"/>
      <c r="AT101" s="58">
        <f t="shared" si="571"/>
        <v>0</v>
      </c>
      <c r="AU101" s="25"/>
      <c r="AV101" s="58">
        <f t="shared" si="572"/>
        <v>0</v>
      </c>
      <c r="AW101" s="25"/>
      <c r="AX101" s="58">
        <f t="shared" si="573"/>
        <v>0</v>
      </c>
      <c r="AY101" s="25"/>
      <c r="AZ101" s="58">
        <f t="shared" si="574"/>
        <v>0</v>
      </c>
      <c r="BA101" s="25">
        <f t="shared" si="794"/>
        <v>0</v>
      </c>
      <c r="BB101" s="58">
        <f t="shared" si="795"/>
        <v>0</v>
      </c>
      <c r="BC101" s="25">
        <f t="shared" si="778"/>
        <v>0</v>
      </c>
      <c r="BD101" s="25">
        <f>AB101*BA1</f>
        <v>173.32640000000001</v>
      </c>
      <c r="BE101" s="25">
        <f t="shared" si="779"/>
        <v>2079.9168</v>
      </c>
      <c r="BF101" s="129">
        <f t="shared" ref="BF101:BF107" si="1096">BE101</f>
        <v>2079.9168</v>
      </c>
      <c r="BG101" s="129">
        <f t="shared" si="753"/>
        <v>173.32640000000001</v>
      </c>
      <c r="BH101" s="25"/>
      <c r="BI101" s="58">
        <f t="shared" si="754"/>
        <v>0</v>
      </c>
      <c r="BJ101" s="25"/>
      <c r="BK101" s="58">
        <f t="shared" si="754"/>
        <v>0</v>
      </c>
      <c r="BL101" s="25"/>
      <c r="BM101" s="58">
        <f t="shared" ref="BM101" si="1097">BL101/$BG101</f>
        <v>0</v>
      </c>
      <c r="BN101" s="25"/>
      <c r="BO101" s="58">
        <f t="shared" ref="BO101" si="1098">BN101/$BG101</f>
        <v>0</v>
      </c>
      <c r="BP101" s="25"/>
      <c r="BQ101" s="58">
        <f t="shared" ref="BQ101" si="1099">BP101/$BG101</f>
        <v>0</v>
      </c>
      <c r="BR101" s="25"/>
      <c r="BS101" s="58">
        <f t="shared" ref="BS101" si="1100">BR101/$BG101</f>
        <v>0</v>
      </c>
      <c r="BT101" s="25"/>
      <c r="BU101" s="58">
        <f t="shared" ref="BU101" si="1101">BT101/$BG101</f>
        <v>0</v>
      </c>
      <c r="BV101" s="25"/>
      <c r="BW101" s="58">
        <f t="shared" ref="BW101" si="1102">BV101/$BG101</f>
        <v>0</v>
      </c>
      <c r="BX101" s="25">
        <v>5650</v>
      </c>
      <c r="BY101" s="58">
        <f t="shared" ref="BY101" si="1103">BX101/$BG101</f>
        <v>32.597457744463625</v>
      </c>
      <c r="BZ101" s="25">
        <v>2848.54</v>
      </c>
      <c r="CA101" s="58">
        <f t="shared" ref="CA101" si="1104">BZ101/$BG101</f>
        <v>16.434541997064496</v>
      </c>
      <c r="CB101" s="25">
        <v>1100</v>
      </c>
      <c r="CC101" s="58">
        <f t="shared" ref="CC101" si="1105">CB101/$BG101</f>
        <v>6.3464077024619447</v>
      </c>
      <c r="CD101" s="25">
        <v>126.06</v>
      </c>
      <c r="CE101" s="58">
        <f t="shared" ref="CE101" si="1106">CD101/$BG101</f>
        <v>0.72729832270213879</v>
      </c>
      <c r="CF101" s="25">
        <f t="shared" si="1027"/>
        <v>9724.6</v>
      </c>
      <c r="CG101" s="58">
        <f t="shared" si="834"/>
        <v>4.6754754805576839</v>
      </c>
    </row>
    <row r="102" spans="1:85" ht="15.75" x14ac:dyDescent="0.25">
      <c r="A102" s="44" t="s">
        <v>147</v>
      </c>
      <c r="B102" s="25"/>
      <c r="C102" s="26"/>
      <c r="D102" s="26"/>
      <c r="E102" s="25"/>
      <c r="F102" s="25"/>
      <c r="G102" s="25"/>
      <c r="H102" s="58"/>
      <c r="I102" s="25"/>
      <c r="J102" s="58"/>
      <c r="K102" s="25"/>
      <c r="L102" s="58"/>
      <c r="M102" s="25"/>
      <c r="N102" s="58"/>
      <c r="O102" s="64"/>
      <c r="P102" s="58"/>
      <c r="Q102" s="64"/>
      <c r="R102" s="58"/>
      <c r="S102" s="64"/>
      <c r="T102" s="58"/>
      <c r="U102" s="64"/>
      <c r="V102" s="58"/>
      <c r="W102" s="64"/>
      <c r="X102" s="58"/>
      <c r="Y102" s="25"/>
      <c r="Z102" s="58"/>
      <c r="AA102" s="25"/>
      <c r="AB102" s="71">
        <v>166.66</v>
      </c>
      <c r="AD102" s="69"/>
      <c r="AG102" s="25"/>
      <c r="AH102" s="58">
        <f t="shared" si="765"/>
        <v>0</v>
      </c>
      <c r="AI102" s="25">
        <f>450+935</f>
        <v>1385</v>
      </c>
      <c r="AJ102" s="58">
        <f t="shared" ref="AJ102" si="1107">AI102/$AB102</f>
        <v>8.3103324132965319</v>
      </c>
      <c r="AK102" s="25"/>
      <c r="AL102" s="58">
        <f t="shared" si="516"/>
        <v>0</v>
      </c>
      <c r="AM102" s="25"/>
      <c r="AN102" s="58">
        <f t="shared" si="517"/>
        <v>0</v>
      </c>
      <c r="AO102" s="25"/>
      <c r="AP102" s="58">
        <f t="shared" si="518"/>
        <v>0</v>
      </c>
      <c r="AQ102" s="25"/>
      <c r="AR102" s="58">
        <f t="shared" si="519"/>
        <v>0</v>
      </c>
      <c r="AS102" s="25"/>
      <c r="AT102" s="58">
        <f t="shared" si="571"/>
        <v>0</v>
      </c>
      <c r="AU102" s="25"/>
      <c r="AV102" s="58">
        <f t="shared" si="572"/>
        <v>0</v>
      </c>
      <c r="AW102" s="25"/>
      <c r="AX102" s="58">
        <f t="shared" si="573"/>
        <v>0</v>
      </c>
      <c r="AY102" s="25"/>
      <c r="AZ102" s="58">
        <f t="shared" si="574"/>
        <v>0</v>
      </c>
      <c r="BA102" s="25">
        <f t="shared" si="794"/>
        <v>1385</v>
      </c>
      <c r="BB102" s="58">
        <f t="shared" si="795"/>
        <v>0.69252770110804429</v>
      </c>
      <c r="BC102" s="25">
        <f t="shared" si="778"/>
        <v>153.88888888888889</v>
      </c>
      <c r="BD102" s="25">
        <f>AB102*BA1</f>
        <v>173.32640000000001</v>
      </c>
      <c r="BE102" s="25">
        <f t="shared" si="779"/>
        <v>2079.9168</v>
      </c>
      <c r="BF102" s="129">
        <f t="shared" si="1096"/>
        <v>2079.9168</v>
      </c>
      <c r="BG102" s="129">
        <f t="shared" si="753"/>
        <v>173.32640000000001</v>
      </c>
      <c r="BH102" s="25">
        <v>700</v>
      </c>
      <c r="BI102" s="58">
        <f t="shared" si="754"/>
        <v>4.0386230833848735</v>
      </c>
      <c r="BJ102" s="25">
        <v>120</v>
      </c>
      <c r="BK102" s="58">
        <f t="shared" si="754"/>
        <v>0.69233538572312125</v>
      </c>
      <c r="BL102" s="25"/>
      <c r="BM102" s="58">
        <f t="shared" ref="BM102" si="1108">BL102/$BG102</f>
        <v>0</v>
      </c>
      <c r="BN102" s="25"/>
      <c r="BO102" s="58">
        <f t="shared" ref="BO102" si="1109">BN102/$BG102</f>
        <v>0</v>
      </c>
      <c r="BP102" s="25"/>
      <c r="BQ102" s="58">
        <f t="shared" ref="BQ102" si="1110">BP102/$BG102</f>
        <v>0</v>
      </c>
      <c r="BR102" s="25"/>
      <c r="BS102" s="58">
        <f t="shared" ref="BS102" si="1111">BR102/$BG102</f>
        <v>0</v>
      </c>
      <c r="BT102" s="25"/>
      <c r="BU102" s="58">
        <f t="shared" ref="BU102" si="1112">BT102/$BG102</f>
        <v>0</v>
      </c>
      <c r="BV102" s="25"/>
      <c r="BW102" s="58">
        <f t="shared" ref="BW102" si="1113">BV102/$BG102</f>
        <v>0</v>
      </c>
      <c r="BX102" s="25"/>
      <c r="BY102" s="58">
        <f t="shared" ref="BY102" si="1114">BX102/$BG102</f>
        <v>0</v>
      </c>
      <c r="BZ102" s="25"/>
      <c r="CA102" s="58">
        <f t="shared" ref="CA102" si="1115">BZ102/$BG102</f>
        <v>0</v>
      </c>
      <c r="CB102" s="25"/>
      <c r="CC102" s="58">
        <f t="shared" ref="CC102" si="1116">CB102/$BG102</f>
        <v>0</v>
      </c>
      <c r="CD102" s="25"/>
      <c r="CE102" s="58">
        <f t="shared" ref="CE102" si="1117">CD102/$BG102</f>
        <v>0</v>
      </c>
      <c r="CF102" s="25">
        <f t="shared" si="1027"/>
        <v>820</v>
      </c>
      <c r="CG102" s="58">
        <f t="shared" si="834"/>
        <v>0.39424653909233293</v>
      </c>
    </row>
    <row r="103" spans="1:85" ht="15.75" x14ac:dyDescent="0.25">
      <c r="A103" s="44" t="s">
        <v>148</v>
      </c>
      <c r="B103" s="25"/>
      <c r="C103" s="26"/>
      <c r="D103" s="26"/>
      <c r="E103" s="25"/>
      <c r="F103" s="25"/>
      <c r="G103" s="25"/>
      <c r="H103" s="58"/>
      <c r="I103" s="25"/>
      <c r="J103" s="58"/>
      <c r="K103" s="25"/>
      <c r="L103" s="58"/>
      <c r="M103" s="25"/>
      <c r="N103" s="58"/>
      <c r="O103" s="64"/>
      <c r="P103" s="58"/>
      <c r="Q103" s="64"/>
      <c r="R103" s="58"/>
      <c r="S103" s="64"/>
      <c r="T103" s="58"/>
      <c r="U103" s="64"/>
      <c r="V103" s="58"/>
      <c r="W103" s="64"/>
      <c r="X103" s="58"/>
      <c r="Y103" s="25"/>
      <c r="Z103" s="58"/>
      <c r="AA103" s="25"/>
      <c r="AB103" s="71">
        <v>249</v>
      </c>
      <c r="AD103" s="69"/>
      <c r="AG103" s="25"/>
      <c r="AH103" s="58">
        <f t="shared" si="765"/>
        <v>0</v>
      </c>
      <c r="AI103" s="25"/>
      <c r="AJ103" s="58">
        <f t="shared" ref="AJ103" si="1118">AI103/$AB103</f>
        <v>0</v>
      </c>
      <c r="AK103" s="25"/>
      <c r="AL103" s="58">
        <f t="shared" si="516"/>
        <v>0</v>
      </c>
      <c r="AM103" s="25"/>
      <c r="AN103" s="58">
        <f t="shared" si="517"/>
        <v>0</v>
      </c>
      <c r="AO103" s="25"/>
      <c r="AP103" s="58">
        <f t="shared" si="518"/>
        <v>0</v>
      </c>
      <c r="AQ103" s="25"/>
      <c r="AR103" s="58">
        <f t="shared" si="519"/>
        <v>0</v>
      </c>
      <c r="AS103" s="25"/>
      <c r="AT103" s="58">
        <f t="shared" si="571"/>
        <v>0</v>
      </c>
      <c r="AU103" s="25"/>
      <c r="AV103" s="58">
        <f t="shared" si="572"/>
        <v>0</v>
      </c>
      <c r="AW103" s="25"/>
      <c r="AX103" s="58">
        <f t="shared" si="573"/>
        <v>0</v>
      </c>
      <c r="AY103" s="25"/>
      <c r="AZ103" s="58">
        <f t="shared" si="574"/>
        <v>0</v>
      </c>
      <c r="BA103" s="25">
        <f t="shared" si="794"/>
        <v>0</v>
      </c>
      <c r="BB103" s="58">
        <f t="shared" si="795"/>
        <v>0</v>
      </c>
      <c r="BC103" s="25">
        <f t="shared" si="778"/>
        <v>0</v>
      </c>
      <c r="BD103" s="25">
        <f>AB103*BA1</f>
        <v>258.96000000000004</v>
      </c>
      <c r="BE103" s="25">
        <f t="shared" si="779"/>
        <v>3107.5200000000004</v>
      </c>
      <c r="BF103" s="129">
        <f t="shared" si="1096"/>
        <v>3107.5200000000004</v>
      </c>
      <c r="BG103" s="129">
        <f t="shared" si="753"/>
        <v>258.96000000000004</v>
      </c>
      <c r="BH103" s="25"/>
      <c r="BI103" s="58">
        <f t="shared" si="754"/>
        <v>0</v>
      </c>
      <c r="BJ103" s="25"/>
      <c r="BK103" s="58">
        <f t="shared" si="754"/>
        <v>0</v>
      </c>
      <c r="BL103" s="25"/>
      <c r="BM103" s="58">
        <f t="shared" ref="BM103" si="1119">BL103/$BG103</f>
        <v>0</v>
      </c>
      <c r="BN103" s="25">
        <v>635.49</v>
      </c>
      <c r="BO103" s="58">
        <f t="shared" ref="BO103" si="1120">BN103/$BG103</f>
        <v>2.4540083410565336</v>
      </c>
      <c r="BP103" s="25">
        <f>550+2675.75</f>
        <v>3225.75</v>
      </c>
      <c r="BQ103" s="58">
        <f t="shared" ref="BQ103" si="1121">BP103/$BG103</f>
        <v>12.456556997219646</v>
      </c>
      <c r="BR103" s="25">
        <v>73</v>
      </c>
      <c r="BS103" s="58">
        <f t="shared" ref="BS103" si="1122">BR103/$BG103</f>
        <v>0.28189681804139632</v>
      </c>
      <c r="BT103" s="25"/>
      <c r="BU103" s="58">
        <f t="shared" ref="BU103" si="1123">BT103/$BG103</f>
        <v>0</v>
      </c>
      <c r="BV103" s="25"/>
      <c r="BW103" s="58">
        <f t="shared" ref="BW103" si="1124">BV103/$BG103</f>
        <v>0</v>
      </c>
      <c r="BX103" s="25"/>
      <c r="BY103" s="58">
        <f t="shared" ref="BY103" si="1125">BX103/$BG103</f>
        <v>0</v>
      </c>
      <c r="BZ103" s="25"/>
      <c r="CA103" s="58">
        <f t="shared" ref="CA103" si="1126">BZ103/$BG103</f>
        <v>0</v>
      </c>
      <c r="CB103" s="25"/>
      <c r="CC103" s="58">
        <f t="shared" ref="CC103" si="1127">CB103/$BG103</f>
        <v>0</v>
      </c>
      <c r="CD103" s="25"/>
      <c r="CE103" s="58">
        <f t="shared" ref="CE103" si="1128">CD103/$BG103</f>
        <v>0</v>
      </c>
      <c r="CF103" s="25">
        <f t="shared" si="1027"/>
        <v>3934.24</v>
      </c>
      <c r="CG103" s="58">
        <f t="shared" si="834"/>
        <v>1.2660385130264646</v>
      </c>
    </row>
    <row r="104" spans="1:85" ht="15.75" x14ac:dyDescent="0.25">
      <c r="A104" s="44" t="s">
        <v>149</v>
      </c>
      <c r="B104" s="25"/>
      <c r="C104" s="26"/>
      <c r="D104" s="26"/>
      <c r="E104" s="25"/>
      <c r="F104" s="25"/>
      <c r="G104" s="25"/>
      <c r="H104" s="58"/>
      <c r="I104" s="25"/>
      <c r="J104" s="58"/>
      <c r="K104" s="25"/>
      <c r="L104" s="58"/>
      <c r="M104" s="25"/>
      <c r="N104" s="58"/>
      <c r="O104" s="64"/>
      <c r="P104" s="58"/>
      <c r="Q104" s="64"/>
      <c r="R104" s="58"/>
      <c r="S104" s="64"/>
      <c r="T104" s="58"/>
      <c r="U104" s="64"/>
      <c r="V104" s="58"/>
      <c r="W104" s="64"/>
      <c r="X104" s="58"/>
      <c r="Y104" s="25"/>
      <c r="Z104" s="58"/>
      <c r="AA104" s="25"/>
      <c r="AB104" s="71">
        <v>249</v>
      </c>
      <c r="AD104" s="69"/>
      <c r="AG104" s="25"/>
      <c r="AH104" s="58">
        <f t="shared" si="765"/>
        <v>0</v>
      </c>
      <c r="AI104" s="25"/>
      <c r="AJ104" s="58">
        <f t="shared" ref="AJ104" si="1129">AI104/$AB104</f>
        <v>0</v>
      </c>
      <c r="AK104" s="25"/>
      <c r="AL104" s="58">
        <f t="shared" si="516"/>
        <v>0</v>
      </c>
      <c r="AM104" s="25"/>
      <c r="AN104" s="58">
        <f t="shared" si="517"/>
        <v>0</v>
      </c>
      <c r="AO104" s="25"/>
      <c r="AP104" s="58">
        <f t="shared" si="518"/>
        <v>0</v>
      </c>
      <c r="AQ104" s="25"/>
      <c r="AR104" s="58">
        <f t="shared" si="519"/>
        <v>0</v>
      </c>
      <c r="AS104" s="25"/>
      <c r="AT104" s="58">
        <f t="shared" si="571"/>
        <v>0</v>
      </c>
      <c r="AU104" s="25"/>
      <c r="AV104" s="58">
        <f t="shared" si="572"/>
        <v>0</v>
      </c>
      <c r="AW104" s="25"/>
      <c r="AX104" s="58">
        <f t="shared" si="573"/>
        <v>0</v>
      </c>
      <c r="AY104" s="25"/>
      <c r="AZ104" s="58">
        <f t="shared" si="574"/>
        <v>0</v>
      </c>
      <c r="BA104" s="25">
        <f t="shared" si="794"/>
        <v>0</v>
      </c>
      <c r="BB104" s="58">
        <f t="shared" si="795"/>
        <v>0</v>
      </c>
      <c r="BC104" s="25">
        <f t="shared" si="778"/>
        <v>0</v>
      </c>
      <c r="BD104" s="25">
        <f>AB104*BA1</f>
        <v>258.96000000000004</v>
      </c>
      <c r="BE104" s="25">
        <f t="shared" si="779"/>
        <v>3107.5200000000004</v>
      </c>
      <c r="BF104" s="129">
        <f t="shared" si="1096"/>
        <v>3107.5200000000004</v>
      </c>
      <c r="BG104" s="129">
        <f t="shared" si="753"/>
        <v>258.96000000000004</v>
      </c>
      <c r="BH104" s="25"/>
      <c r="BI104" s="58">
        <f t="shared" si="754"/>
        <v>0</v>
      </c>
      <c r="BJ104" s="25"/>
      <c r="BK104" s="58">
        <f t="shared" si="754"/>
        <v>0</v>
      </c>
      <c r="BL104" s="25"/>
      <c r="BM104" s="58">
        <f t="shared" ref="BM104" si="1130">BL104/$BG104</f>
        <v>0</v>
      </c>
      <c r="BN104" s="25"/>
      <c r="BO104" s="58">
        <f t="shared" ref="BO104" si="1131">BN104/$BG104</f>
        <v>0</v>
      </c>
      <c r="BP104" s="25"/>
      <c r="BQ104" s="58">
        <f t="shared" ref="BQ104" si="1132">BP104/$BG104</f>
        <v>0</v>
      </c>
      <c r="BR104" s="25"/>
      <c r="BS104" s="58">
        <f t="shared" ref="BS104" si="1133">BR104/$BG104</f>
        <v>0</v>
      </c>
      <c r="BT104" s="25"/>
      <c r="BU104" s="58">
        <f t="shared" ref="BU104" si="1134">BT104/$BG104</f>
        <v>0</v>
      </c>
      <c r="BV104" s="25">
        <v>670.3</v>
      </c>
      <c r="BW104" s="58">
        <f t="shared" ref="BW104" si="1135">BV104/$BG104</f>
        <v>2.5884306456595607</v>
      </c>
      <c r="BX104" s="25"/>
      <c r="BY104" s="58">
        <f t="shared" ref="BY104" si="1136">BX104/$BG104</f>
        <v>0</v>
      </c>
      <c r="BZ104" s="25">
        <v>400</v>
      </c>
      <c r="CA104" s="58">
        <f t="shared" ref="CA104" si="1137">BZ104/$BG104</f>
        <v>1.5446400988569662</v>
      </c>
      <c r="CB104" s="25"/>
      <c r="CC104" s="58">
        <f t="shared" ref="CC104" si="1138">CB104/$BG104</f>
        <v>0</v>
      </c>
      <c r="CD104" s="25"/>
      <c r="CE104" s="58">
        <f t="shared" ref="CE104" si="1139">CD104/$BG104</f>
        <v>0</v>
      </c>
      <c r="CF104" s="25">
        <f t="shared" si="1027"/>
        <v>1070.3</v>
      </c>
      <c r="CG104" s="58">
        <f t="shared" si="834"/>
        <v>0.34442256204304389</v>
      </c>
    </row>
    <row r="105" spans="1:85" ht="15.75" x14ac:dyDescent="0.25">
      <c r="A105" s="44" t="s">
        <v>235</v>
      </c>
      <c r="B105" s="25"/>
      <c r="C105" s="26"/>
      <c r="D105" s="26"/>
      <c r="E105" s="25"/>
      <c r="F105" s="25"/>
      <c r="G105" s="25"/>
      <c r="H105" s="58"/>
      <c r="I105" s="25"/>
      <c r="J105" s="58"/>
      <c r="K105" s="25"/>
      <c r="L105" s="58"/>
      <c r="M105" s="25"/>
      <c r="N105" s="58"/>
      <c r="O105" s="64"/>
      <c r="P105" s="58"/>
      <c r="Q105" s="64"/>
      <c r="R105" s="58"/>
      <c r="S105" s="64"/>
      <c r="T105" s="58"/>
      <c r="U105" s="64"/>
      <c r="V105" s="58"/>
      <c r="W105" s="64"/>
      <c r="X105" s="58"/>
      <c r="Y105" s="25"/>
      <c r="Z105" s="58"/>
      <c r="AA105" s="25"/>
      <c r="AB105" s="71">
        <v>140</v>
      </c>
      <c r="AD105" s="69"/>
      <c r="AG105" s="25"/>
      <c r="AH105" s="58">
        <f t="shared" si="765"/>
        <v>0</v>
      </c>
      <c r="AI105" s="25"/>
      <c r="AJ105" s="58">
        <f t="shared" ref="AJ105" si="1140">AI105/$AB105</f>
        <v>0</v>
      </c>
      <c r="AK105" s="25"/>
      <c r="AL105" s="58">
        <f t="shared" si="516"/>
        <v>0</v>
      </c>
      <c r="AM105" s="25"/>
      <c r="AN105" s="58">
        <f t="shared" si="517"/>
        <v>0</v>
      </c>
      <c r="AO105" s="25"/>
      <c r="AP105" s="58">
        <f t="shared" si="518"/>
        <v>0</v>
      </c>
      <c r="AQ105" s="25"/>
      <c r="AR105" s="58">
        <f t="shared" si="519"/>
        <v>0</v>
      </c>
      <c r="AS105" s="25"/>
      <c r="AT105" s="58">
        <f t="shared" si="571"/>
        <v>0</v>
      </c>
      <c r="AU105" s="25"/>
      <c r="AV105" s="58">
        <f t="shared" si="572"/>
        <v>0</v>
      </c>
      <c r="AW105" s="25"/>
      <c r="AX105" s="58">
        <f t="shared" si="573"/>
        <v>0</v>
      </c>
      <c r="AY105" s="25"/>
      <c r="AZ105" s="58">
        <f t="shared" si="574"/>
        <v>0</v>
      </c>
      <c r="BA105" s="25">
        <f t="shared" si="794"/>
        <v>0</v>
      </c>
      <c r="BB105" s="58">
        <f t="shared" si="795"/>
        <v>0</v>
      </c>
      <c r="BC105" s="25">
        <f t="shared" si="778"/>
        <v>0</v>
      </c>
      <c r="BD105" s="25">
        <f>AB105*BA1</f>
        <v>145.6</v>
      </c>
      <c r="BE105" s="25">
        <f t="shared" si="779"/>
        <v>1747.1999999999998</v>
      </c>
      <c r="BF105" s="129">
        <f t="shared" si="1096"/>
        <v>1747.1999999999998</v>
      </c>
      <c r="BG105" s="129">
        <f t="shared" si="753"/>
        <v>145.6</v>
      </c>
      <c r="BH105" s="25">
        <v>185.14</v>
      </c>
      <c r="BI105" s="58">
        <f t="shared" si="754"/>
        <v>1.271565934065934</v>
      </c>
      <c r="BJ105" s="25"/>
      <c r="BK105" s="58">
        <f t="shared" si="754"/>
        <v>0</v>
      </c>
      <c r="BL105" s="25"/>
      <c r="BM105" s="58">
        <f t="shared" ref="BM105" si="1141">BL105/$BG105</f>
        <v>0</v>
      </c>
      <c r="BN105" s="25"/>
      <c r="BO105" s="58">
        <f t="shared" ref="BO105" si="1142">BN105/$BG105</f>
        <v>0</v>
      </c>
      <c r="BP105" s="25"/>
      <c r="BQ105" s="58">
        <f t="shared" ref="BQ105" si="1143">BP105/$BG105</f>
        <v>0</v>
      </c>
      <c r="BR105" s="25"/>
      <c r="BS105" s="58">
        <f t="shared" ref="BS105" si="1144">BR105/$BG105</f>
        <v>0</v>
      </c>
      <c r="BT105" s="25"/>
      <c r="BU105" s="58">
        <f t="shared" ref="BU105" si="1145">BT105/$BG105</f>
        <v>0</v>
      </c>
      <c r="BV105" s="25"/>
      <c r="BW105" s="58">
        <f t="shared" ref="BW105" si="1146">BV105/$BG105</f>
        <v>0</v>
      </c>
      <c r="BX105" s="25"/>
      <c r="BY105" s="58">
        <f t="shared" ref="BY105" si="1147">BX105/$BG105</f>
        <v>0</v>
      </c>
      <c r="BZ105" s="25"/>
      <c r="CA105" s="58">
        <f t="shared" ref="CA105" si="1148">BZ105/$BG105</f>
        <v>0</v>
      </c>
      <c r="CB105" s="25">
        <f>185.36+3180</f>
        <v>3365.36</v>
      </c>
      <c r="CC105" s="58">
        <f t="shared" ref="CC105" si="1149">CB105/$BG105</f>
        <v>23.113736263736264</v>
      </c>
      <c r="CD105" s="25">
        <f>5488.1+26126.43-2000</f>
        <v>29614.53</v>
      </c>
      <c r="CE105" s="58">
        <f t="shared" ref="CE105" si="1150">CD105/$BG105</f>
        <v>203.39649725274725</v>
      </c>
      <c r="CF105" s="25">
        <f t="shared" si="1027"/>
        <v>33165.03</v>
      </c>
      <c r="CG105" s="58">
        <f t="shared" si="834"/>
        <v>18.981816620879123</v>
      </c>
    </row>
    <row r="106" spans="1:85" ht="15.75" x14ac:dyDescent="0.25">
      <c r="A106" s="44" t="s">
        <v>74</v>
      </c>
      <c r="B106" s="25">
        <v>14746.966849999999</v>
      </c>
      <c r="C106" s="26">
        <v>27111.84</v>
      </c>
      <c r="D106" s="26">
        <v>27111.84</v>
      </c>
      <c r="E106" s="25">
        <v>28467.432000000001</v>
      </c>
      <c r="F106" s="25">
        <f t="shared" si="290"/>
        <v>2372.2860000000001</v>
      </c>
      <c r="G106" s="25"/>
      <c r="H106" s="58">
        <f t="shared" si="806"/>
        <v>0</v>
      </c>
      <c r="I106" s="25">
        <f>2570.5+1560+351.6</f>
        <v>4482.1000000000004</v>
      </c>
      <c r="J106" s="58">
        <f t="shared" si="807"/>
        <v>1.8893590401831821</v>
      </c>
      <c r="K106" s="25">
        <f>2200+2200</f>
        <v>4400</v>
      </c>
      <c r="L106" s="58">
        <f t="shared" si="808"/>
        <v>1.8547510713295108</v>
      </c>
      <c r="M106" s="25">
        <f>453.49+1400+1000</f>
        <v>2853.49</v>
      </c>
      <c r="N106" s="58">
        <f t="shared" si="809"/>
        <v>1.2028440078472831</v>
      </c>
      <c r="O106" s="64">
        <f>1082.3+495</f>
        <v>1577.3</v>
      </c>
      <c r="P106" s="58">
        <f t="shared" si="790"/>
        <v>0.66488610563819028</v>
      </c>
      <c r="Q106" s="64">
        <v>120</v>
      </c>
      <c r="R106" s="58">
        <f t="shared" si="511"/>
        <v>5.0584120127168473E-2</v>
      </c>
      <c r="S106" s="64"/>
      <c r="T106" s="58">
        <f t="shared" si="512"/>
        <v>0</v>
      </c>
      <c r="U106" s="64">
        <f>240+424.28</f>
        <v>664.28</v>
      </c>
      <c r="V106" s="58">
        <f t="shared" si="513"/>
        <v>0.28001682765062896</v>
      </c>
      <c r="W106" s="64">
        <v>1714.5</v>
      </c>
      <c r="X106" s="58">
        <f t="shared" si="881"/>
        <v>0.72272061631691964</v>
      </c>
      <c r="Y106" s="25">
        <f t="shared" si="791"/>
        <v>15811.67</v>
      </c>
      <c r="Z106" s="58">
        <f t="shared" si="810"/>
        <v>0.55543014909107358</v>
      </c>
      <c r="AA106" s="25">
        <f t="shared" si="792"/>
        <v>1756.8522222222223</v>
      </c>
      <c r="AB106" s="71">
        <v>200</v>
      </c>
      <c r="AD106" s="69"/>
      <c r="AG106" s="25"/>
      <c r="AH106" s="58">
        <f t="shared" si="765"/>
        <v>0</v>
      </c>
      <c r="AI106" s="25">
        <f>4727.37-450</f>
        <v>4277.37</v>
      </c>
      <c r="AJ106" s="58">
        <f t="shared" ref="AJ106" si="1151">AI106/$AB106</f>
        <v>21.386849999999999</v>
      </c>
      <c r="AK106" s="25"/>
      <c r="AL106" s="58">
        <f t="shared" si="516"/>
        <v>0</v>
      </c>
      <c r="AM106" s="25"/>
      <c r="AN106" s="58">
        <f t="shared" si="517"/>
        <v>0</v>
      </c>
      <c r="AO106" s="25"/>
      <c r="AP106" s="58">
        <f t="shared" si="518"/>
        <v>0</v>
      </c>
      <c r="AQ106" s="25"/>
      <c r="AR106" s="58">
        <f t="shared" si="519"/>
        <v>0</v>
      </c>
      <c r="AS106" s="25"/>
      <c r="AT106" s="58">
        <f t="shared" si="571"/>
        <v>0</v>
      </c>
      <c r="AU106" s="25"/>
      <c r="AV106" s="58">
        <f t="shared" si="572"/>
        <v>0</v>
      </c>
      <c r="AW106" s="25">
        <v>1980.44</v>
      </c>
      <c r="AX106" s="58">
        <f t="shared" si="573"/>
        <v>9.9022000000000006</v>
      </c>
      <c r="AY106" s="25"/>
      <c r="AZ106" s="58">
        <f t="shared" si="574"/>
        <v>0</v>
      </c>
      <c r="BA106" s="25">
        <f t="shared" si="794"/>
        <v>6257.8099999999995</v>
      </c>
      <c r="BB106" s="58">
        <f t="shared" si="795"/>
        <v>2.6074208333333333</v>
      </c>
      <c r="BC106" s="25">
        <f t="shared" si="778"/>
        <v>695.3122222222222</v>
      </c>
      <c r="BD106" s="25">
        <f>AB106*BA1</f>
        <v>208</v>
      </c>
      <c r="BE106" s="25">
        <f t="shared" si="779"/>
        <v>2496</v>
      </c>
      <c r="BF106" s="129">
        <f t="shared" si="1096"/>
        <v>2496</v>
      </c>
      <c r="BG106" s="129">
        <f t="shared" si="753"/>
        <v>208</v>
      </c>
      <c r="BH106" s="25"/>
      <c r="BI106" s="58">
        <f t="shared" si="754"/>
        <v>0</v>
      </c>
      <c r="BJ106" s="25">
        <v>2500</v>
      </c>
      <c r="BK106" s="58">
        <f t="shared" si="754"/>
        <v>12.01923076923077</v>
      </c>
      <c r="BL106" s="25"/>
      <c r="BM106" s="58">
        <f t="shared" ref="BM106" si="1152">BL106/$BG106</f>
        <v>0</v>
      </c>
      <c r="BN106" s="25"/>
      <c r="BO106" s="58">
        <f t="shared" ref="BO106" si="1153">BN106/$BG106</f>
        <v>0</v>
      </c>
      <c r="BP106" s="25"/>
      <c r="BQ106" s="58">
        <f t="shared" ref="BQ106" si="1154">BP106/$BG106</f>
        <v>0</v>
      </c>
      <c r="BR106" s="25"/>
      <c r="BS106" s="58">
        <f t="shared" ref="BS106" si="1155">BR106/$BG106</f>
        <v>0</v>
      </c>
      <c r="BT106" s="25">
        <f>2700+800</f>
        <v>3500</v>
      </c>
      <c r="BU106" s="58">
        <f t="shared" ref="BU106" si="1156">BT106/$BG106</f>
        <v>16.826923076923077</v>
      </c>
      <c r="BV106" s="25">
        <f>1295.12+5172</f>
        <v>6467.12</v>
      </c>
      <c r="BW106" s="58">
        <f t="shared" ref="BW106" si="1157">BV106/$BG106</f>
        <v>31.091923076923077</v>
      </c>
      <c r="BX106" s="25">
        <f>33.7+4850</f>
        <v>4883.7</v>
      </c>
      <c r="BY106" s="58">
        <f t="shared" ref="BY106" si="1158">BX106/$BG106</f>
        <v>23.479326923076922</v>
      </c>
      <c r="BZ106" s="25">
        <v>4386.3599999999997</v>
      </c>
      <c r="CA106" s="58">
        <f t="shared" ref="CA106" si="1159">BZ106/$BG106</f>
        <v>21.088269230769228</v>
      </c>
      <c r="CB106" s="25">
        <v>1001.19</v>
      </c>
      <c r="CC106" s="58">
        <f t="shared" ref="CC106" si="1160">CB106/$BG106</f>
        <v>4.8134134615384614</v>
      </c>
      <c r="CD106" s="25">
        <v>500</v>
      </c>
      <c r="CE106" s="58">
        <f t="shared" ref="CE106" si="1161">CD106/$BG106</f>
        <v>2.4038461538461537</v>
      </c>
      <c r="CF106" s="25">
        <f t="shared" si="1027"/>
        <v>23238.37</v>
      </c>
      <c r="CG106" s="58">
        <f t="shared" si="834"/>
        <v>9.3102443910256412</v>
      </c>
    </row>
    <row r="107" spans="1:85" ht="15.75" x14ac:dyDescent="0.25">
      <c r="A107" s="44" t="s">
        <v>75</v>
      </c>
      <c r="B107" s="25">
        <v>15158.71775</v>
      </c>
      <c r="C107" s="26">
        <v>7569.35</v>
      </c>
      <c r="D107" s="26">
        <v>7569.35</v>
      </c>
      <c r="E107" s="25">
        <v>7947.817500000001</v>
      </c>
      <c r="F107" s="25">
        <f t="shared" si="290"/>
        <v>662.31812500000012</v>
      </c>
      <c r="G107" s="25"/>
      <c r="H107" s="58">
        <f t="shared" si="806"/>
        <v>0</v>
      </c>
      <c r="I107" s="25"/>
      <c r="J107" s="58">
        <f t="shared" si="807"/>
        <v>0</v>
      </c>
      <c r="K107" s="25">
        <v>345</v>
      </c>
      <c r="L107" s="58">
        <f t="shared" si="808"/>
        <v>0.52089771814715158</v>
      </c>
      <c r="M107" s="25">
        <v>8389.0400000000009</v>
      </c>
      <c r="N107" s="58">
        <f t="shared" si="809"/>
        <v>12.666179111435309</v>
      </c>
      <c r="O107" s="64"/>
      <c r="P107" s="58">
        <f t="shared" si="790"/>
        <v>0</v>
      </c>
      <c r="Q107" s="64">
        <v>998.43</v>
      </c>
      <c r="R107" s="58">
        <f t="shared" si="511"/>
        <v>1.5074779963178566</v>
      </c>
      <c r="S107" s="64"/>
      <c r="T107" s="58">
        <f t="shared" si="512"/>
        <v>0</v>
      </c>
      <c r="U107" s="64"/>
      <c r="V107" s="58">
        <f t="shared" si="513"/>
        <v>0</v>
      </c>
      <c r="W107" s="64"/>
      <c r="X107" s="58">
        <f t="shared" si="881"/>
        <v>0</v>
      </c>
      <c r="Y107" s="25">
        <f t="shared" si="791"/>
        <v>9732.4700000000012</v>
      </c>
      <c r="Z107" s="58">
        <f t="shared" si="810"/>
        <v>1.2245462354916932</v>
      </c>
      <c r="AA107" s="25">
        <f t="shared" si="792"/>
        <v>1081.3855555555556</v>
      </c>
      <c r="AB107" s="71">
        <v>1000</v>
      </c>
      <c r="AD107" s="69"/>
      <c r="AG107" s="25"/>
      <c r="AH107" s="58">
        <f t="shared" si="765"/>
        <v>0</v>
      </c>
      <c r="AI107" s="25"/>
      <c r="AJ107" s="58">
        <f t="shared" ref="AJ107" si="1162">AI107/$AB107</f>
        <v>0</v>
      </c>
      <c r="AK107" s="25"/>
      <c r="AL107" s="58">
        <f t="shared" si="516"/>
        <v>0</v>
      </c>
      <c r="AM107" s="25"/>
      <c r="AN107" s="58">
        <f t="shared" si="517"/>
        <v>0</v>
      </c>
      <c r="AO107" s="25"/>
      <c r="AP107" s="58">
        <f t="shared" si="518"/>
        <v>0</v>
      </c>
      <c r="AQ107" s="25"/>
      <c r="AR107" s="58">
        <f t="shared" si="519"/>
        <v>0</v>
      </c>
      <c r="AS107" s="25"/>
      <c r="AT107" s="58">
        <f t="shared" si="571"/>
        <v>0</v>
      </c>
      <c r="AU107" s="25"/>
      <c r="AV107" s="58">
        <f t="shared" si="572"/>
        <v>0</v>
      </c>
      <c r="AW107" s="25"/>
      <c r="AX107" s="58">
        <f t="shared" si="573"/>
        <v>0</v>
      </c>
      <c r="AY107" s="25"/>
      <c r="AZ107" s="58">
        <f t="shared" si="574"/>
        <v>0</v>
      </c>
      <c r="BA107" s="25">
        <f t="shared" si="794"/>
        <v>0</v>
      </c>
      <c r="BB107" s="58">
        <f t="shared" si="795"/>
        <v>0</v>
      </c>
      <c r="BC107" s="25">
        <f t="shared" si="778"/>
        <v>0</v>
      </c>
      <c r="BD107" s="25">
        <f>AB107*BA1</f>
        <v>1040</v>
      </c>
      <c r="BE107" s="25">
        <f t="shared" si="779"/>
        <v>12480</v>
      </c>
      <c r="BF107" s="129">
        <f t="shared" si="1096"/>
        <v>12480</v>
      </c>
      <c r="BG107" s="129">
        <f t="shared" si="753"/>
        <v>1040</v>
      </c>
      <c r="BH107" s="25"/>
      <c r="BI107" s="58">
        <f t="shared" si="754"/>
        <v>0</v>
      </c>
      <c r="BJ107" s="25"/>
      <c r="BK107" s="58">
        <f t="shared" si="754"/>
        <v>0</v>
      </c>
      <c r="BL107" s="25"/>
      <c r="BM107" s="58">
        <f t="shared" ref="BM107" si="1163">BL107/$BG107</f>
        <v>0</v>
      </c>
      <c r="BN107" s="25"/>
      <c r="BO107" s="58">
        <f t="shared" ref="BO107" si="1164">BN107/$BG107</f>
        <v>0</v>
      </c>
      <c r="BP107" s="25"/>
      <c r="BQ107" s="58">
        <f t="shared" ref="BQ107" si="1165">BP107/$BG107</f>
        <v>0</v>
      </c>
      <c r="BR107" s="25"/>
      <c r="BS107" s="58">
        <f t="shared" ref="BS107" si="1166">BR107/$BG107</f>
        <v>0</v>
      </c>
      <c r="BT107" s="25"/>
      <c r="BU107" s="58">
        <f t="shared" ref="BU107" si="1167">BT107/$BG107</f>
        <v>0</v>
      </c>
      <c r="BV107" s="25"/>
      <c r="BW107" s="58">
        <f t="shared" ref="BW107" si="1168">BV107/$BG107</f>
        <v>0</v>
      </c>
      <c r="BX107" s="25"/>
      <c r="BY107" s="58">
        <f t="shared" ref="BY107" si="1169">BX107/$BG107</f>
        <v>0</v>
      </c>
      <c r="BZ107" s="25"/>
      <c r="CA107" s="58">
        <f t="shared" ref="CA107" si="1170">BZ107/$BG107</f>
        <v>0</v>
      </c>
      <c r="CB107" s="25"/>
      <c r="CC107" s="58">
        <f t="shared" ref="CC107" si="1171">CB107/$BG107</f>
        <v>0</v>
      </c>
      <c r="CD107" s="25"/>
      <c r="CE107" s="58">
        <f t="shared" ref="CE107" si="1172">CD107/$BG107</f>
        <v>0</v>
      </c>
      <c r="CF107" s="25">
        <f t="shared" si="1027"/>
        <v>0</v>
      </c>
      <c r="CG107" s="58">
        <f t="shared" si="834"/>
        <v>0</v>
      </c>
    </row>
    <row r="108" spans="1:85" ht="15.75" x14ac:dyDescent="0.25">
      <c r="A108" s="41" t="s">
        <v>76</v>
      </c>
      <c r="B108" s="42">
        <v>64583.4</v>
      </c>
      <c r="C108" s="42">
        <v>54039.49</v>
      </c>
      <c r="D108" s="43">
        <v>72052.653333333335</v>
      </c>
      <c r="E108" s="43">
        <v>75655.286000000007</v>
      </c>
      <c r="F108" s="43">
        <f t="shared" si="290"/>
        <v>6304.6071666666676</v>
      </c>
      <c r="G108" s="43">
        <f>SUM(G109:G112)</f>
        <v>5037.9400000000005</v>
      </c>
      <c r="H108" s="60">
        <f t="shared" si="806"/>
        <v>0.79908864530629087</v>
      </c>
      <c r="I108" s="43">
        <f>SUM(I109:I112)</f>
        <v>5937.9400000000005</v>
      </c>
      <c r="J108" s="60">
        <f t="shared" si="807"/>
        <v>0.94184139360731511</v>
      </c>
      <c r="K108" s="43">
        <f>SUM(K109:K112)</f>
        <v>6727.9400000000005</v>
      </c>
      <c r="L108" s="60">
        <f t="shared" si="808"/>
        <v>1.0671465837826586</v>
      </c>
      <c r="M108" s="43">
        <f>SUM(M109:M112)</f>
        <v>6727.9400000000005</v>
      </c>
      <c r="N108" s="60">
        <f t="shared" si="809"/>
        <v>1.0671465837826586</v>
      </c>
      <c r="O108" s="66">
        <f>SUM(O109:O112)</f>
        <v>6727.9400000000005</v>
      </c>
      <c r="P108" s="60">
        <f t="shared" si="790"/>
        <v>1.0671465837826586</v>
      </c>
      <c r="Q108" s="66">
        <f>SUM(Q109:Q112)</f>
        <v>6727.9400000000005</v>
      </c>
      <c r="R108" s="60">
        <f t="shared" si="511"/>
        <v>1.0671465837826586</v>
      </c>
      <c r="S108" s="66">
        <f>SUM(S109:S112)</f>
        <v>7127.9400000000005</v>
      </c>
      <c r="T108" s="60">
        <f t="shared" si="512"/>
        <v>1.1305922496942249</v>
      </c>
      <c r="U108" s="66">
        <f>SUM(U109:U112)</f>
        <v>7127.9400000000005</v>
      </c>
      <c r="V108" s="60">
        <f t="shared" si="513"/>
        <v>1.1305922496942249</v>
      </c>
      <c r="W108" s="66">
        <f>SUM(W109:W112)</f>
        <v>6337.9400000000005</v>
      </c>
      <c r="X108" s="60">
        <f t="shared" si="881"/>
        <v>1.0052870595188814</v>
      </c>
      <c r="Y108" s="43">
        <f t="shared" si="791"/>
        <v>58481.460000000014</v>
      </c>
      <c r="Z108" s="60">
        <f t="shared" si="810"/>
        <v>0.77299899441263109</v>
      </c>
      <c r="AA108" s="43">
        <f t="shared" si="792"/>
        <v>6497.9400000000014</v>
      </c>
      <c r="AB108" s="43">
        <f>SUM(AB109:AB112)</f>
        <v>6825.8576000000012</v>
      </c>
      <c r="AD108" s="69">
        <f t="shared" si="847"/>
        <v>1.0504648550155895</v>
      </c>
      <c r="AF108" s="74"/>
      <c r="AG108" s="43">
        <f>SUM(AG109:AG112)</f>
        <v>5989.99</v>
      </c>
      <c r="AH108" s="60">
        <f t="shared" si="765"/>
        <v>0.87754394407524683</v>
      </c>
      <c r="AI108" s="43">
        <f>SUM(AI109:AI112)</f>
        <v>5989.99</v>
      </c>
      <c r="AJ108" s="60">
        <f t="shared" ref="AJ108" si="1173">AI108/$AB108</f>
        <v>0.87754394407524683</v>
      </c>
      <c r="AK108" s="43">
        <f>SUM(AK109:AK112)</f>
        <v>0</v>
      </c>
      <c r="AL108" s="60">
        <f t="shared" si="516"/>
        <v>0</v>
      </c>
      <c r="AM108" s="43">
        <f>SUM(AM109:AM112)</f>
        <v>5200</v>
      </c>
      <c r="AN108" s="60">
        <f t="shared" si="517"/>
        <v>0.76180903627406449</v>
      </c>
      <c r="AO108" s="43">
        <f>SUM(AO109:AO112)</f>
        <v>789.99</v>
      </c>
      <c r="AP108" s="60">
        <f t="shared" si="518"/>
        <v>0.11573490780118235</v>
      </c>
      <c r="AQ108" s="43">
        <f>SUM(AQ109:AQ112)</f>
        <v>7800</v>
      </c>
      <c r="AR108" s="60">
        <f t="shared" si="519"/>
        <v>1.1427135544110969</v>
      </c>
      <c r="AS108" s="43">
        <f>SUM(AS109:AS112)</f>
        <v>5600</v>
      </c>
      <c r="AT108" s="60">
        <f t="shared" si="571"/>
        <v>0.82040973137206952</v>
      </c>
      <c r="AU108" s="43">
        <f>SUM(AU109:AU112)</f>
        <v>7789.99</v>
      </c>
      <c r="AV108" s="60">
        <f t="shared" si="572"/>
        <v>1.1412470720162693</v>
      </c>
      <c r="AW108" s="43">
        <f>SUM(AW109:AW112)</f>
        <v>6389.99</v>
      </c>
      <c r="AX108" s="60">
        <f t="shared" si="573"/>
        <v>0.93614463917325186</v>
      </c>
      <c r="AY108" s="43">
        <f>SUM(AY109:AY112)</f>
        <v>4300</v>
      </c>
      <c r="AZ108" s="60">
        <f t="shared" si="574"/>
        <v>0.62995747230355337</v>
      </c>
      <c r="BA108" s="43">
        <f t="shared" si="794"/>
        <v>49849.95</v>
      </c>
      <c r="BB108" s="60">
        <f t="shared" si="795"/>
        <v>0.60859202512516519</v>
      </c>
      <c r="BC108" s="43">
        <f t="shared" si="778"/>
        <v>5538.8833333333332</v>
      </c>
      <c r="BD108" s="43">
        <f>SUM(BD109:BD112)</f>
        <v>6801.0359040000003</v>
      </c>
      <c r="BE108" s="43">
        <f t="shared" si="779"/>
        <v>81612.430848000004</v>
      </c>
      <c r="BF108" s="136">
        <f>SUM(BF109:BF112)</f>
        <v>70380.430848000004</v>
      </c>
      <c r="BG108" s="136">
        <f t="shared" si="753"/>
        <v>5865.0359040000003</v>
      </c>
      <c r="BH108" s="43">
        <f>SUM(BH109:BH112)</f>
        <v>6381.54</v>
      </c>
      <c r="BI108" s="60">
        <f t="shared" si="754"/>
        <v>1.0880649504034134</v>
      </c>
      <c r="BJ108" s="43">
        <f>SUM(BJ109:BJ112)</f>
        <v>4720</v>
      </c>
      <c r="BK108" s="60">
        <f t="shared" si="754"/>
        <v>0.80476915695962292</v>
      </c>
      <c r="BL108" s="43">
        <f>SUM(BL109:BL112)</f>
        <v>4720</v>
      </c>
      <c r="BM108" s="60">
        <f t="shared" ref="BM108" si="1174">BL108/$BG108</f>
        <v>0.80476915695962292</v>
      </c>
      <c r="BN108" s="43">
        <f>SUM(BN109:BN112)</f>
        <v>5550.77</v>
      </c>
      <c r="BO108" s="60">
        <f t="shared" ref="BO108" si="1175">BN108/$BG108</f>
        <v>0.94641705368151829</v>
      </c>
      <c r="BP108" s="43">
        <f>SUM(BP109:BP112)</f>
        <v>4720</v>
      </c>
      <c r="BQ108" s="60">
        <f t="shared" ref="BQ108" si="1176">BP108/$BG108</f>
        <v>0.80476915695962292</v>
      </c>
      <c r="BR108" s="43">
        <f>SUM(BR109:BR112)</f>
        <v>5550.77</v>
      </c>
      <c r="BS108" s="60">
        <f t="shared" ref="BS108" si="1177">BR108/$BG108</f>
        <v>0.94641705368151829</v>
      </c>
      <c r="BT108" s="43">
        <f>SUM(BT109:BT112)</f>
        <v>4720</v>
      </c>
      <c r="BU108" s="60">
        <f t="shared" ref="BU108" si="1178">BT108/$BG108</f>
        <v>0.80476915695962292</v>
      </c>
      <c r="BV108" s="43">
        <f>SUM(BV109:BV112)</f>
        <v>5550.77</v>
      </c>
      <c r="BW108" s="60">
        <f t="shared" ref="BW108" si="1179">BV108/$BG108</f>
        <v>0.94641705368151829</v>
      </c>
      <c r="BX108" s="43">
        <f>SUM(BX109:BX112)</f>
        <v>4720</v>
      </c>
      <c r="BY108" s="60">
        <f t="shared" ref="BY108" si="1180">BX108/$BG108</f>
        <v>0.80476915695962292</v>
      </c>
      <c r="BZ108" s="43">
        <v>5550.77</v>
      </c>
      <c r="CA108" s="60">
        <f t="shared" ref="CA108" si="1181">BZ108/$BG108</f>
        <v>0.94641705368151829</v>
      </c>
      <c r="CB108" s="43">
        <f>SUM(CB109:CB112)</f>
        <v>4720</v>
      </c>
      <c r="CC108" s="60">
        <f t="shared" ref="CC108" si="1182">CB108/$BG108</f>
        <v>0.80476915695962292</v>
      </c>
      <c r="CD108" s="43">
        <f>SUM(CD109:CD112)</f>
        <v>5990.77</v>
      </c>
      <c r="CE108" s="60">
        <f t="shared" ref="CE108" si="1183">CD108/$BG108</f>
        <v>1.0214379072963984</v>
      </c>
      <c r="CF108" s="43">
        <f>SUM(CF109:CF112)</f>
        <v>62895.39</v>
      </c>
      <c r="CG108" s="60">
        <f t="shared" si="834"/>
        <v>0.89364883451530186</v>
      </c>
    </row>
    <row r="109" spans="1:85" ht="15.75" x14ac:dyDescent="0.25">
      <c r="A109" s="47" t="s">
        <v>165</v>
      </c>
      <c r="B109" s="25">
        <v>14018.400000000001</v>
      </c>
      <c r="C109" s="26">
        <v>11039.49</v>
      </c>
      <c r="D109" s="26">
        <v>14719.32</v>
      </c>
      <c r="E109" s="25">
        <v>15455.286</v>
      </c>
      <c r="F109" s="25">
        <f t="shared" ref="F109:F160" si="1184">E109/12</f>
        <v>1287.9404999999999</v>
      </c>
      <c r="G109" s="25">
        <v>1287.94</v>
      </c>
      <c r="H109" s="58">
        <f t="shared" si="806"/>
        <v>0.99999961178330843</v>
      </c>
      <c r="I109" s="25">
        <v>1287.94</v>
      </c>
      <c r="J109" s="58">
        <f t="shared" si="807"/>
        <v>0.99999961178330843</v>
      </c>
      <c r="K109" s="25">
        <v>1287.94</v>
      </c>
      <c r="L109" s="58">
        <f t="shared" si="808"/>
        <v>0.99999961178330843</v>
      </c>
      <c r="M109" s="25">
        <v>1287.94</v>
      </c>
      <c r="N109" s="58">
        <f t="shared" si="809"/>
        <v>0.99999961178330843</v>
      </c>
      <c r="O109" s="64">
        <v>1287.94</v>
      </c>
      <c r="P109" s="58">
        <f t="shared" si="790"/>
        <v>0.99999961178330843</v>
      </c>
      <c r="Q109" s="64">
        <v>1287.94</v>
      </c>
      <c r="R109" s="58">
        <f t="shared" si="511"/>
        <v>0.99999961178330843</v>
      </c>
      <c r="S109" s="64">
        <v>1287.94</v>
      </c>
      <c r="T109" s="58">
        <f t="shared" si="512"/>
        <v>0.99999961178330843</v>
      </c>
      <c r="U109" s="64">
        <v>1287.94</v>
      </c>
      <c r="V109" s="58">
        <f t="shared" si="513"/>
        <v>0.99999961178330843</v>
      </c>
      <c r="W109" s="64">
        <v>1287.94</v>
      </c>
      <c r="X109" s="58">
        <f t="shared" si="881"/>
        <v>0.99999961178330843</v>
      </c>
      <c r="Y109" s="25">
        <f t="shared" si="791"/>
        <v>11591.460000000003</v>
      </c>
      <c r="Z109" s="58">
        <f t="shared" si="810"/>
        <v>0.74999970883748146</v>
      </c>
      <c r="AA109" s="25">
        <f t="shared" si="792"/>
        <v>1287.9400000000003</v>
      </c>
      <c r="AB109" s="71">
        <f>AA109*$AC$7</f>
        <v>1339.4576000000004</v>
      </c>
      <c r="AD109" s="69">
        <f t="shared" si="847"/>
        <v>1.04</v>
      </c>
      <c r="AG109" s="25">
        <v>789.99</v>
      </c>
      <c r="AH109" s="58">
        <f t="shared" si="765"/>
        <v>0.5897835063984106</v>
      </c>
      <c r="AI109" s="25">
        <v>789.99</v>
      </c>
      <c r="AJ109" s="58">
        <f t="shared" ref="AJ109" si="1185">AI109/$AB109</f>
        <v>0.5897835063984106</v>
      </c>
      <c r="AK109" s="25"/>
      <c r="AL109" s="58">
        <f t="shared" si="516"/>
        <v>0</v>
      </c>
      <c r="AM109" s="25"/>
      <c r="AN109" s="58">
        <f t="shared" si="517"/>
        <v>0</v>
      </c>
      <c r="AO109" s="25">
        <v>789.99</v>
      </c>
      <c r="AP109" s="58">
        <f t="shared" si="518"/>
        <v>0.5897835063984106</v>
      </c>
      <c r="AQ109" s="25"/>
      <c r="AR109" s="58">
        <f t="shared" si="519"/>
        <v>0</v>
      </c>
      <c r="AS109" s="25"/>
      <c r="AT109" s="58">
        <f t="shared" si="571"/>
        <v>0</v>
      </c>
      <c r="AU109" s="25">
        <v>789.99</v>
      </c>
      <c r="AV109" s="58">
        <f t="shared" si="572"/>
        <v>0.5897835063984106</v>
      </c>
      <c r="AW109" s="25">
        <v>789.99</v>
      </c>
      <c r="AX109" s="58">
        <f t="shared" si="573"/>
        <v>0.5897835063984106</v>
      </c>
      <c r="AY109" s="25"/>
      <c r="AZ109" s="58">
        <f t="shared" si="574"/>
        <v>0</v>
      </c>
      <c r="BA109" s="25">
        <f t="shared" si="794"/>
        <v>3949.95</v>
      </c>
      <c r="BB109" s="58">
        <f t="shared" si="795"/>
        <v>0.24574312766600442</v>
      </c>
      <c r="BC109" s="25">
        <f t="shared" si="778"/>
        <v>438.88333333333333</v>
      </c>
      <c r="BD109" s="25">
        <f>AB109*BA1</f>
        <v>1393.0359040000005</v>
      </c>
      <c r="BE109" s="25">
        <f t="shared" si="779"/>
        <v>16716.430848000007</v>
      </c>
      <c r="BF109" s="129">
        <f>BE109</f>
        <v>16716.430848000007</v>
      </c>
      <c r="BG109" s="129">
        <f t="shared" si="753"/>
        <v>1393.0359040000005</v>
      </c>
      <c r="BH109" s="25">
        <v>1661.54</v>
      </c>
      <c r="BI109" s="58">
        <f t="shared" si="754"/>
        <v>1.1927474340244997</v>
      </c>
      <c r="BJ109" s="25"/>
      <c r="BK109" s="58">
        <f t="shared" si="754"/>
        <v>0</v>
      </c>
      <c r="BL109" s="25"/>
      <c r="BM109" s="58">
        <f t="shared" ref="BM109" si="1186">BL109/$BG109</f>
        <v>0</v>
      </c>
      <c r="BN109" s="25">
        <v>830.77</v>
      </c>
      <c r="BO109" s="58">
        <f t="shared" ref="BO109" si="1187">BN109/$BG109</f>
        <v>0.59637371701224984</v>
      </c>
      <c r="BP109" s="25"/>
      <c r="BQ109" s="58">
        <f t="shared" ref="BQ109" si="1188">BP109/$BG109</f>
        <v>0</v>
      </c>
      <c r="BR109" s="25">
        <v>830.77</v>
      </c>
      <c r="BS109" s="58">
        <f t="shared" ref="BS109" si="1189">BR109/$BG109</f>
        <v>0.59637371701224984</v>
      </c>
      <c r="BT109" s="25"/>
      <c r="BU109" s="58">
        <f t="shared" ref="BU109" si="1190">BT109/$BG109</f>
        <v>0</v>
      </c>
      <c r="BV109" s="25">
        <v>830.77</v>
      </c>
      <c r="BW109" s="58">
        <f t="shared" ref="BW109" si="1191">BV109/$BG109</f>
        <v>0.59637371701224984</v>
      </c>
      <c r="BX109" s="25"/>
      <c r="BY109" s="58">
        <f t="shared" ref="BY109" si="1192">BX109/$BG109</f>
        <v>0</v>
      </c>
      <c r="BZ109" s="25">
        <v>830.77</v>
      </c>
      <c r="CA109" s="58">
        <f t="shared" ref="CA109" si="1193">BZ109/$BG109</f>
        <v>0.59637371701224984</v>
      </c>
      <c r="CB109" s="25"/>
      <c r="CC109" s="58">
        <f t="shared" ref="CC109" si="1194">CB109/$BG109</f>
        <v>0</v>
      </c>
      <c r="CD109" s="25">
        <v>830.77</v>
      </c>
      <c r="CE109" s="58">
        <f t="shared" ref="CE109" si="1195">CD109/$BG109</f>
        <v>0.59637371701224984</v>
      </c>
      <c r="CF109" s="25">
        <f t="shared" ref="CF109:CF113" si="1196">BH109+BJ109+BL109+BN109+BP109+BR109+BT109+BV109+BX109+BZ109+CB109+CD109</f>
        <v>5815.3900000000012</v>
      </c>
      <c r="CG109" s="58">
        <f t="shared" si="834"/>
        <v>0.34788466825714581</v>
      </c>
    </row>
    <row r="110" spans="1:85" ht="15.75" x14ac:dyDescent="0.25">
      <c r="A110" s="47" t="s">
        <v>77</v>
      </c>
      <c r="B110" s="25">
        <v>10800</v>
      </c>
      <c r="C110" s="26">
        <v>9000</v>
      </c>
      <c r="D110" s="26">
        <v>12000</v>
      </c>
      <c r="E110" s="25">
        <v>12600</v>
      </c>
      <c r="F110" s="25">
        <f t="shared" si="1184"/>
        <v>1050</v>
      </c>
      <c r="G110" s="25"/>
      <c r="H110" s="58">
        <f t="shared" si="806"/>
        <v>0</v>
      </c>
      <c r="I110" s="25">
        <v>900</v>
      </c>
      <c r="J110" s="58">
        <f t="shared" si="807"/>
        <v>0.8571428571428571</v>
      </c>
      <c r="K110" s="25">
        <v>900</v>
      </c>
      <c r="L110" s="58">
        <f t="shared" si="808"/>
        <v>0.8571428571428571</v>
      </c>
      <c r="M110" s="25">
        <v>900</v>
      </c>
      <c r="N110" s="58">
        <f t="shared" si="809"/>
        <v>0.8571428571428571</v>
      </c>
      <c r="O110" s="64">
        <v>900</v>
      </c>
      <c r="P110" s="58">
        <f t="shared" si="790"/>
        <v>0.8571428571428571</v>
      </c>
      <c r="Q110" s="64">
        <v>900</v>
      </c>
      <c r="R110" s="58">
        <f t="shared" si="511"/>
        <v>0.8571428571428571</v>
      </c>
      <c r="S110" s="64">
        <v>900</v>
      </c>
      <c r="T110" s="58">
        <f t="shared" si="512"/>
        <v>0.8571428571428571</v>
      </c>
      <c r="U110" s="64">
        <v>900</v>
      </c>
      <c r="V110" s="58">
        <f t="shared" si="513"/>
        <v>0.8571428571428571</v>
      </c>
      <c r="W110" s="64">
        <v>900</v>
      </c>
      <c r="X110" s="58">
        <f t="shared" si="881"/>
        <v>0.8571428571428571</v>
      </c>
      <c r="Y110" s="25">
        <f t="shared" si="791"/>
        <v>7200</v>
      </c>
      <c r="Z110" s="58">
        <f t="shared" si="810"/>
        <v>0.5714285714285714</v>
      </c>
      <c r="AA110" s="25">
        <f t="shared" si="792"/>
        <v>800</v>
      </c>
      <c r="AB110" s="71">
        <v>900</v>
      </c>
      <c r="AD110" s="69">
        <f t="shared" si="847"/>
        <v>1.125</v>
      </c>
      <c r="AG110" s="25">
        <v>900</v>
      </c>
      <c r="AH110" s="58">
        <f t="shared" si="765"/>
        <v>1</v>
      </c>
      <c r="AI110" s="25">
        <v>900</v>
      </c>
      <c r="AJ110" s="58">
        <f t="shared" ref="AJ110" si="1197">AI110/$AB110</f>
        <v>1</v>
      </c>
      <c r="AK110" s="25"/>
      <c r="AL110" s="58">
        <f t="shared" si="516"/>
        <v>0</v>
      </c>
      <c r="AM110" s="25">
        <v>900</v>
      </c>
      <c r="AN110" s="58">
        <f t="shared" si="517"/>
        <v>1</v>
      </c>
      <c r="AO110" s="25"/>
      <c r="AP110" s="58">
        <f t="shared" si="518"/>
        <v>0</v>
      </c>
      <c r="AQ110" s="25"/>
      <c r="AR110" s="58">
        <f t="shared" si="519"/>
        <v>0</v>
      </c>
      <c r="AS110" s="25">
        <v>900</v>
      </c>
      <c r="AT110" s="58">
        <f t="shared" si="571"/>
        <v>1</v>
      </c>
      <c r="AU110" s="25">
        <v>2700</v>
      </c>
      <c r="AV110" s="58">
        <f t="shared" si="572"/>
        <v>3</v>
      </c>
      <c r="AW110" s="25">
        <v>900</v>
      </c>
      <c r="AX110" s="58">
        <f t="shared" si="573"/>
        <v>1</v>
      </c>
      <c r="AY110" s="25"/>
      <c r="AZ110" s="58">
        <f t="shared" si="574"/>
        <v>0</v>
      </c>
      <c r="BA110" s="25">
        <f t="shared" si="794"/>
        <v>7200</v>
      </c>
      <c r="BB110" s="58">
        <f t="shared" si="795"/>
        <v>0.66666666666666663</v>
      </c>
      <c r="BC110" s="25">
        <f t="shared" si="778"/>
        <v>800</v>
      </c>
      <c r="BD110" s="25">
        <f>AB110*BA1</f>
        <v>936</v>
      </c>
      <c r="BE110" s="25">
        <f t="shared" si="779"/>
        <v>11232</v>
      </c>
      <c r="BF110" s="129">
        <v>0</v>
      </c>
      <c r="BG110" s="129">
        <f t="shared" si="753"/>
        <v>0</v>
      </c>
      <c r="BH110" s="25"/>
      <c r="BI110" s="58">
        <v>0</v>
      </c>
      <c r="BJ110" s="25"/>
      <c r="BK110" s="58">
        <v>0</v>
      </c>
      <c r="BL110" s="25"/>
      <c r="BM110" s="58" t="e">
        <f t="shared" ref="BM110" si="1198">BL110/$BG110</f>
        <v>#DIV/0!</v>
      </c>
      <c r="BN110" s="25"/>
      <c r="BO110" s="58" t="e">
        <f t="shared" ref="BO110" si="1199">BN110/$BG110</f>
        <v>#DIV/0!</v>
      </c>
      <c r="BP110" s="25"/>
      <c r="BQ110" s="58" t="e">
        <f t="shared" ref="BQ110" si="1200">BP110/$BG110</f>
        <v>#DIV/0!</v>
      </c>
      <c r="BR110" s="25"/>
      <c r="BS110" s="58" t="e">
        <f t="shared" ref="BS110" si="1201">BR110/$BG110</f>
        <v>#DIV/0!</v>
      </c>
      <c r="BT110" s="25"/>
      <c r="BU110" s="58" t="e">
        <f t="shared" ref="BU110" si="1202">BT110/$BG110</f>
        <v>#DIV/0!</v>
      </c>
      <c r="BV110" s="25"/>
      <c r="BW110" s="58" t="e">
        <f t="shared" ref="BW110" si="1203">BV110/$BG110</f>
        <v>#DIV/0!</v>
      </c>
      <c r="BX110" s="25"/>
      <c r="BY110" s="58" t="e">
        <f t="shared" ref="BY110" si="1204">BX110/$BG110</f>
        <v>#DIV/0!</v>
      </c>
      <c r="BZ110" s="25"/>
      <c r="CA110" s="58" t="e">
        <f t="shared" ref="CA110" si="1205">BZ110/$BG110</f>
        <v>#DIV/0!</v>
      </c>
      <c r="CB110" s="25"/>
      <c r="CC110" s="58" t="e">
        <f t="shared" ref="CC110" si="1206">CB110/$BG110</f>
        <v>#DIV/0!</v>
      </c>
      <c r="CD110" s="25">
        <v>440</v>
      </c>
      <c r="CE110" s="58" t="e">
        <f t="shared" ref="CE110" si="1207">CD110/$BG110</f>
        <v>#DIV/0!</v>
      </c>
      <c r="CF110" s="25">
        <f t="shared" si="1196"/>
        <v>440</v>
      </c>
      <c r="CG110" s="58" t="e">
        <f t="shared" si="834"/>
        <v>#DIV/0!</v>
      </c>
    </row>
    <row r="111" spans="1:85" ht="15.75" x14ac:dyDescent="0.25">
      <c r="A111" s="47" t="s">
        <v>78</v>
      </c>
      <c r="B111" s="25">
        <v>25965</v>
      </c>
      <c r="C111" s="26">
        <v>23650</v>
      </c>
      <c r="D111" s="26">
        <v>31533.333333333336</v>
      </c>
      <c r="E111" s="25">
        <v>33110.000000000007</v>
      </c>
      <c r="F111" s="25">
        <f t="shared" si="1184"/>
        <v>2759.1666666666674</v>
      </c>
      <c r="G111" s="25">
        <v>2500</v>
      </c>
      <c r="H111" s="58">
        <f t="shared" si="806"/>
        <v>0.90607067351253368</v>
      </c>
      <c r="I111" s="25">
        <v>2500</v>
      </c>
      <c r="J111" s="58">
        <f t="shared" si="807"/>
        <v>0.90607067351253368</v>
      </c>
      <c r="K111" s="25">
        <v>3290</v>
      </c>
      <c r="L111" s="58">
        <f t="shared" si="808"/>
        <v>1.1923890063424945</v>
      </c>
      <c r="M111" s="25">
        <v>3290</v>
      </c>
      <c r="N111" s="58">
        <f t="shared" si="809"/>
        <v>1.1923890063424945</v>
      </c>
      <c r="O111" s="64">
        <v>3290</v>
      </c>
      <c r="P111" s="58">
        <f t="shared" si="790"/>
        <v>1.1923890063424945</v>
      </c>
      <c r="Q111" s="64">
        <v>3290</v>
      </c>
      <c r="R111" s="58">
        <f t="shared" si="511"/>
        <v>1.1923890063424945</v>
      </c>
      <c r="S111" s="64">
        <v>3690</v>
      </c>
      <c r="T111" s="58">
        <f t="shared" si="512"/>
        <v>1.3373603141044998</v>
      </c>
      <c r="U111" s="64">
        <v>3690</v>
      </c>
      <c r="V111" s="58">
        <f t="shared" si="513"/>
        <v>1.3373603141044998</v>
      </c>
      <c r="W111" s="64">
        <v>2900</v>
      </c>
      <c r="X111" s="58">
        <f t="shared" si="881"/>
        <v>1.0510419812745391</v>
      </c>
      <c r="Y111" s="25">
        <f t="shared" si="791"/>
        <v>28440</v>
      </c>
      <c r="Z111" s="58">
        <f t="shared" si="810"/>
        <v>0.85895499848988199</v>
      </c>
      <c r="AA111" s="25">
        <f t="shared" si="792"/>
        <v>3160</v>
      </c>
      <c r="AB111" s="71">
        <f t="shared" ref="AB111:AB112" si="1208">AA111*$AC$7</f>
        <v>3286.4</v>
      </c>
      <c r="AD111" s="69">
        <f t="shared" si="847"/>
        <v>1.04</v>
      </c>
      <c r="AG111" s="25">
        <v>3000</v>
      </c>
      <c r="AH111" s="58">
        <f t="shared" si="765"/>
        <v>0.91285296981499509</v>
      </c>
      <c r="AI111" s="25">
        <v>3000</v>
      </c>
      <c r="AJ111" s="58">
        <f t="shared" ref="AJ111" si="1209">AI111/$AB111</f>
        <v>0.91285296981499509</v>
      </c>
      <c r="AK111" s="25"/>
      <c r="AL111" s="58">
        <f t="shared" si="516"/>
        <v>0</v>
      </c>
      <c r="AM111" s="25">
        <v>3000</v>
      </c>
      <c r="AN111" s="58">
        <f t="shared" si="517"/>
        <v>0.91285296981499509</v>
      </c>
      <c r="AO111" s="25"/>
      <c r="AP111" s="58">
        <f t="shared" si="518"/>
        <v>0</v>
      </c>
      <c r="AQ111" s="25">
        <v>5200</v>
      </c>
      <c r="AR111" s="58">
        <f t="shared" si="519"/>
        <v>1.5822784810126582</v>
      </c>
      <c r="AS111" s="25">
        <v>3400</v>
      </c>
      <c r="AT111" s="58">
        <f t="shared" si="571"/>
        <v>1.0345666991236611</v>
      </c>
      <c r="AU111" s="25">
        <v>3000</v>
      </c>
      <c r="AV111" s="58">
        <f t="shared" si="572"/>
        <v>0.91285296981499509</v>
      </c>
      <c r="AW111" s="25">
        <v>3400</v>
      </c>
      <c r="AX111" s="58">
        <f t="shared" si="573"/>
        <v>1.0345666991236611</v>
      </c>
      <c r="AY111" s="25">
        <v>3000</v>
      </c>
      <c r="AZ111" s="58">
        <f t="shared" si="574"/>
        <v>0.91285296981499509</v>
      </c>
      <c r="BA111" s="25">
        <f t="shared" si="794"/>
        <v>27000</v>
      </c>
      <c r="BB111" s="58">
        <f t="shared" si="795"/>
        <v>0.68463972736124634</v>
      </c>
      <c r="BC111" s="25">
        <f t="shared" si="778"/>
        <v>3000</v>
      </c>
      <c r="BD111" s="25">
        <f>BC111*BA1</f>
        <v>3120</v>
      </c>
      <c r="BE111" s="25">
        <f t="shared" si="779"/>
        <v>37440</v>
      </c>
      <c r="BF111" s="129">
        <f>BE111</f>
        <v>37440</v>
      </c>
      <c r="BG111" s="129">
        <f t="shared" si="753"/>
        <v>3120</v>
      </c>
      <c r="BH111" s="25">
        <v>3390</v>
      </c>
      <c r="BI111" s="58">
        <f t="shared" si="754"/>
        <v>1.0865384615384615</v>
      </c>
      <c r="BJ111" s="25">
        <v>3390</v>
      </c>
      <c r="BK111" s="58">
        <f t="shared" si="754"/>
        <v>1.0865384615384615</v>
      </c>
      <c r="BL111" s="25">
        <v>3390</v>
      </c>
      <c r="BM111" s="58">
        <f t="shared" ref="BM111" si="1210">BL111/$BG111</f>
        <v>1.0865384615384615</v>
      </c>
      <c r="BN111" s="25">
        <v>3390</v>
      </c>
      <c r="BO111" s="58">
        <f t="shared" ref="BO111" si="1211">BN111/$BG111</f>
        <v>1.0865384615384615</v>
      </c>
      <c r="BP111" s="25">
        <v>3390</v>
      </c>
      <c r="BQ111" s="58">
        <f t="shared" ref="BQ111" si="1212">BP111/$BG111</f>
        <v>1.0865384615384615</v>
      </c>
      <c r="BR111" s="25">
        <v>3390</v>
      </c>
      <c r="BS111" s="58">
        <f t="shared" ref="BS111" si="1213">BR111/$BG111</f>
        <v>1.0865384615384615</v>
      </c>
      <c r="BT111" s="25">
        <v>3390</v>
      </c>
      <c r="BU111" s="58">
        <f t="shared" ref="BU111" si="1214">BT111/$BG111</f>
        <v>1.0865384615384615</v>
      </c>
      <c r="BV111" s="25">
        <v>3390</v>
      </c>
      <c r="BW111" s="58">
        <f t="shared" ref="BW111" si="1215">BV111/$BG111</f>
        <v>1.0865384615384615</v>
      </c>
      <c r="BX111" s="25">
        <v>3390</v>
      </c>
      <c r="BY111" s="58">
        <f t="shared" ref="BY111" si="1216">BX111/$BG111</f>
        <v>1.0865384615384615</v>
      </c>
      <c r="BZ111" s="25">
        <v>3390</v>
      </c>
      <c r="CA111" s="58">
        <f t="shared" ref="CA111" si="1217">BZ111/$BG111</f>
        <v>1.0865384615384615</v>
      </c>
      <c r="CB111" s="25">
        <v>3390</v>
      </c>
      <c r="CC111" s="58">
        <f t="shared" ref="CC111" si="1218">CB111/$BG111</f>
        <v>1.0865384615384615</v>
      </c>
      <c r="CD111" s="25">
        <v>3390</v>
      </c>
      <c r="CE111" s="58">
        <f t="shared" ref="CE111" si="1219">CD111/$BG111</f>
        <v>1.0865384615384615</v>
      </c>
      <c r="CF111" s="25">
        <f t="shared" si="1196"/>
        <v>40680</v>
      </c>
      <c r="CG111" s="58">
        <f t="shared" si="834"/>
        <v>1.0865384615384615</v>
      </c>
    </row>
    <row r="112" spans="1:85" ht="15.75" x14ac:dyDescent="0.25">
      <c r="A112" s="47" t="s">
        <v>79</v>
      </c>
      <c r="B112" s="25">
        <v>13800</v>
      </c>
      <c r="C112" s="26">
        <v>10350</v>
      </c>
      <c r="D112" s="26">
        <v>13800</v>
      </c>
      <c r="E112" s="25">
        <v>14490</v>
      </c>
      <c r="F112" s="25">
        <f t="shared" si="1184"/>
        <v>1207.5</v>
      </c>
      <c r="G112" s="25">
        <v>1250</v>
      </c>
      <c r="H112" s="58">
        <f t="shared" si="806"/>
        <v>1.0351966873706004</v>
      </c>
      <c r="I112" s="25">
        <v>1250</v>
      </c>
      <c r="J112" s="58">
        <f t="shared" si="807"/>
        <v>1.0351966873706004</v>
      </c>
      <c r="K112" s="25">
        <v>1250</v>
      </c>
      <c r="L112" s="58">
        <f t="shared" si="808"/>
        <v>1.0351966873706004</v>
      </c>
      <c r="M112" s="25">
        <v>1250</v>
      </c>
      <c r="N112" s="58">
        <f t="shared" si="809"/>
        <v>1.0351966873706004</v>
      </c>
      <c r="O112" s="64">
        <v>1250</v>
      </c>
      <c r="P112" s="58">
        <f t="shared" si="790"/>
        <v>1.0351966873706004</v>
      </c>
      <c r="Q112" s="64">
        <v>1250</v>
      </c>
      <c r="R112" s="58">
        <f t="shared" si="511"/>
        <v>1.0351966873706004</v>
      </c>
      <c r="S112" s="64">
        <v>1250</v>
      </c>
      <c r="T112" s="58">
        <f t="shared" si="512"/>
        <v>1.0351966873706004</v>
      </c>
      <c r="U112" s="64">
        <v>1250</v>
      </c>
      <c r="V112" s="58">
        <f t="shared" si="513"/>
        <v>1.0351966873706004</v>
      </c>
      <c r="W112" s="64">
        <v>1250</v>
      </c>
      <c r="X112" s="58">
        <f t="shared" si="881"/>
        <v>1.0351966873706004</v>
      </c>
      <c r="Y112" s="25">
        <f t="shared" si="791"/>
        <v>11250</v>
      </c>
      <c r="Z112" s="58">
        <f t="shared" si="810"/>
        <v>0.77639751552795033</v>
      </c>
      <c r="AA112" s="25">
        <f t="shared" si="792"/>
        <v>1250</v>
      </c>
      <c r="AB112" s="71">
        <f t="shared" si="1208"/>
        <v>1300</v>
      </c>
      <c r="AD112" s="69">
        <f t="shared" si="847"/>
        <v>1.04</v>
      </c>
      <c r="AG112" s="25">
        <v>1300</v>
      </c>
      <c r="AH112" s="58">
        <f t="shared" si="765"/>
        <v>1</v>
      </c>
      <c r="AI112" s="25">
        <v>1300</v>
      </c>
      <c r="AJ112" s="58">
        <f t="shared" ref="AJ112" si="1220">AI112/$AB112</f>
        <v>1</v>
      </c>
      <c r="AK112" s="25"/>
      <c r="AL112" s="58">
        <f t="shared" si="516"/>
        <v>0</v>
      </c>
      <c r="AM112" s="25">
        <v>1300</v>
      </c>
      <c r="AN112" s="58">
        <f t="shared" si="517"/>
        <v>1</v>
      </c>
      <c r="AO112" s="25"/>
      <c r="AP112" s="58">
        <f t="shared" si="518"/>
        <v>0</v>
      </c>
      <c r="AQ112" s="25">
        <v>2600</v>
      </c>
      <c r="AR112" s="58">
        <f t="shared" si="519"/>
        <v>2</v>
      </c>
      <c r="AS112" s="25">
        <v>1300</v>
      </c>
      <c r="AT112" s="58">
        <f t="shared" si="571"/>
        <v>1</v>
      </c>
      <c r="AU112" s="25">
        <v>1300</v>
      </c>
      <c r="AV112" s="58">
        <f t="shared" si="572"/>
        <v>1</v>
      </c>
      <c r="AW112" s="25">
        <v>1300</v>
      </c>
      <c r="AX112" s="58">
        <f t="shared" si="573"/>
        <v>1</v>
      </c>
      <c r="AY112" s="25">
        <v>1300</v>
      </c>
      <c r="AZ112" s="58">
        <f t="shared" si="574"/>
        <v>1</v>
      </c>
      <c r="BA112" s="25">
        <f t="shared" si="794"/>
        <v>11700</v>
      </c>
      <c r="BB112" s="58">
        <f t="shared" si="795"/>
        <v>0.75</v>
      </c>
      <c r="BC112" s="25">
        <f t="shared" si="778"/>
        <v>1300</v>
      </c>
      <c r="BD112" s="25">
        <f>AB112*BA1</f>
        <v>1352</v>
      </c>
      <c r="BE112" s="25">
        <f t="shared" si="779"/>
        <v>16224</v>
      </c>
      <c r="BF112" s="129">
        <f>BE112</f>
        <v>16224</v>
      </c>
      <c r="BG112" s="129">
        <f t="shared" si="753"/>
        <v>1352</v>
      </c>
      <c r="BH112" s="25">
        <v>1330</v>
      </c>
      <c r="BI112" s="58">
        <f t="shared" si="754"/>
        <v>0.98372781065088755</v>
      </c>
      <c r="BJ112" s="25">
        <v>1330</v>
      </c>
      <c r="BK112" s="58">
        <f t="shared" si="754"/>
        <v>0.98372781065088755</v>
      </c>
      <c r="BL112" s="25">
        <v>1330</v>
      </c>
      <c r="BM112" s="58">
        <f t="shared" ref="BM112" si="1221">BL112/$BG112</f>
        <v>0.98372781065088755</v>
      </c>
      <c r="BN112" s="25">
        <v>1330</v>
      </c>
      <c r="BO112" s="58">
        <f t="shared" ref="BO112" si="1222">BN112/$BG112</f>
        <v>0.98372781065088755</v>
      </c>
      <c r="BP112" s="25">
        <v>1330</v>
      </c>
      <c r="BQ112" s="58">
        <f t="shared" ref="BQ112" si="1223">BP112/$BG112</f>
        <v>0.98372781065088755</v>
      </c>
      <c r="BR112" s="25">
        <v>1330</v>
      </c>
      <c r="BS112" s="58">
        <f t="shared" ref="BS112" si="1224">BR112/$BG112</f>
        <v>0.98372781065088755</v>
      </c>
      <c r="BT112" s="25">
        <v>1330</v>
      </c>
      <c r="BU112" s="58">
        <f t="shared" ref="BU112" si="1225">BT112/$BG112</f>
        <v>0.98372781065088755</v>
      </c>
      <c r="BV112" s="25">
        <v>1330</v>
      </c>
      <c r="BW112" s="58">
        <f t="shared" ref="BW112" si="1226">BV112/$BG112</f>
        <v>0.98372781065088755</v>
      </c>
      <c r="BX112" s="25">
        <v>1330</v>
      </c>
      <c r="BY112" s="58">
        <f t="shared" ref="BY112" si="1227">BX112/$BG112</f>
        <v>0.98372781065088755</v>
      </c>
      <c r="BZ112" s="25">
        <v>1330</v>
      </c>
      <c r="CA112" s="58">
        <f t="shared" ref="CA112" si="1228">BZ112/$BG112</f>
        <v>0.98372781065088755</v>
      </c>
      <c r="CB112" s="25">
        <v>1330</v>
      </c>
      <c r="CC112" s="58">
        <f t="shared" ref="CC112" si="1229">CB112/$BG112</f>
        <v>0.98372781065088755</v>
      </c>
      <c r="CD112" s="25">
        <v>1330</v>
      </c>
      <c r="CE112" s="58">
        <f t="shared" ref="CE112" si="1230">CD112/$BG112</f>
        <v>0.98372781065088755</v>
      </c>
      <c r="CF112" s="25">
        <f t="shared" si="1196"/>
        <v>15960</v>
      </c>
      <c r="CG112" s="58">
        <f t="shared" si="834"/>
        <v>0.98372781065088755</v>
      </c>
    </row>
    <row r="113" spans="1:85" ht="15.75" x14ac:dyDescent="0.25">
      <c r="A113" s="47" t="s">
        <v>232</v>
      </c>
      <c r="B113" s="26"/>
      <c r="C113" s="26"/>
      <c r="D113" s="26"/>
      <c r="E113" s="25"/>
      <c r="F113" s="25"/>
      <c r="G113" s="25"/>
      <c r="H113" s="58"/>
      <c r="I113" s="25"/>
      <c r="J113" s="58"/>
      <c r="K113" s="25"/>
      <c r="L113" s="58"/>
      <c r="M113" s="25"/>
      <c r="N113" s="58"/>
      <c r="O113" s="64"/>
      <c r="P113" s="58"/>
      <c r="Q113" s="64"/>
      <c r="R113" s="58"/>
      <c r="S113" s="64"/>
      <c r="T113" s="58"/>
      <c r="U113" s="64"/>
      <c r="V113" s="58"/>
      <c r="W113" s="64"/>
      <c r="X113" s="58"/>
      <c r="Y113" s="25"/>
      <c r="Z113" s="58"/>
      <c r="AA113" s="25"/>
      <c r="AB113" s="71"/>
      <c r="AD113" s="69"/>
      <c r="AG113" s="25"/>
      <c r="AH113" s="58"/>
      <c r="AI113" s="25"/>
      <c r="AJ113" s="58"/>
      <c r="AK113" s="25"/>
      <c r="AL113" s="58"/>
      <c r="AM113" s="25"/>
      <c r="AN113" s="58"/>
      <c r="AO113" s="25"/>
      <c r="AP113" s="58"/>
      <c r="AQ113" s="25"/>
      <c r="AR113" s="58"/>
      <c r="AS113" s="25"/>
      <c r="AT113" s="58"/>
      <c r="AU113" s="25"/>
      <c r="AV113" s="58"/>
      <c r="AW113" s="25"/>
      <c r="AX113" s="58"/>
      <c r="AY113" s="25"/>
      <c r="AZ113" s="58"/>
      <c r="BA113" s="25"/>
      <c r="BB113" s="58"/>
      <c r="BC113" s="25"/>
      <c r="BD113" s="25"/>
      <c r="BE113" s="25"/>
      <c r="BF113" s="129">
        <v>0</v>
      </c>
      <c r="BG113" s="129">
        <v>0</v>
      </c>
      <c r="BH113" s="25">
        <v>3000</v>
      </c>
      <c r="BI113" s="58" t="e">
        <f t="shared" si="754"/>
        <v>#DIV/0!</v>
      </c>
      <c r="BJ113" s="25"/>
      <c r="BK113" s="58"/>
      <c r="BL113" s="25"/>
      <c r="BM113" s="58"/>
      <c r="BN113" s="25"/>
      <c r="BO113" s="58"/>
      <c r="BP113" s="25"/>
      <c r="BQ113" s="58"/>
      <c r="BR113" s="25"/>
      <c r="BS113" s="58"/>
      <c r="BT113" s="25"/>
      <c r="BU113" s="58"/>
      <c r="BV113" s="25"/>
      <c r="BW113" s="58"/>
      <c r="BX113" s="25"/>
      <c r="BY113" s="58"/>
      <c r="BZ113" s="25"/>
      <c r="CA113" s="58"/>
      <c r="CB113" s="25"/>
      <c r="CC113" s="58"/>
      <c r="CD113" s="25"/>
      <c r="CE113" s="58"/>
      <c r="CF113" s="25">
        <f t="shared" si="1196"/>
        <v>3000</v>
      </c>
      <c r="CG113" s="58" t="e">
        <f t="shared" si="834"/>
        <v>#DIV/0!</v>
      </c>
    </row>
    <row r="114" spans="1:85" ht="15.75" x14ac:dyDescent="0.25">
      <c r="A114" s="40" t="s">
        <v>80</v>
      </c>
      <c r="B114" s="35">
        <v>538665.89442499995</v>
      </c>
      <c r="C114" s="35">
        <v>347926.82</v>
      </c>
      <c r="D114" s="36">
        <v>493083.68000000005</v>
      </c>
      <c r="E114" s="36">
        <v>507458.0564</v>
      </c>
      <c r="F114" s="36">
        <f t="shared" si="1184"/>
        <v>42288.171366666669</v>
      </c>
      <c r="G114" s="36">
        <f>G115</f>
        <v>23059.79</v>
      </c>
      <c r="H114" s="59">
        <f t="shared" si="806"/>
        <v>0.54530118599965538</v>
      </c>
      <c r="I114" s="36">
        <f>I115</f>
        <v>70304.929999999993</v>
      </c>
      <c r="J114" s="59">
        <f t="shared" si="807"/>
        <v>1.6625199843807226</v>
      </c>
      <c r="K114" s="36">
        <f>K115</f>
        <v>39122.080000000002</v>
      </c>
      <c r="L114" s="59">
        <f t="shared" si="808"/>
        <v>0.92513056809161731</v>
      </c>
      <c r="M114" s="36">
        <f>M115</f>
        <v>49712.049999999996</v>
      </c>
      <c r="N114" s="59">
        <f t="shared" si="809"/>
        <v>1.1755544965272522</v>
      </c>
      <c r="O114" s="65">
        <f>O115</f>
        <v>34397.99</v>
      </c>
      <c r="P114" s="59">
        <f t="shared" si="790"/>
        <v>0.81341871469793448</v>
      </c>
      <c r="Q114" s="65">
        <f>Q115</f>
        <v>36900.42</v>
      </c>
      <c r="R114" s="59">
        <f t="shared" si="511"/>
        <v>0.87259436403737412</v>
      </c>
      <c r="S114" s="65">
        <f>S115</f>
        <v>16061.84</v>
      </c>
      <c r="T114" s="59">
        <f t="shared" si="512"/>
        <v>0.37981874081839878</v>
      </c>
      <c r="U114" s="65">
        <f>U115</f>
        <v>24856.040000000005</v>
      </c>
      <c r="V114" s="59">
        <f t="shared" si="513"/>
        <v>0.58777760297274495</v>
      </c>
      <c r="W114" s="65">
        <f>W115</f>
        <v>59518.82</v>
      </c>
      <c r="X114" s="59">
        <f t="shared" si="881"/>
        <v>1.4074578795080097</v>
      </c>
      <c r="Y114" s="36">
        <f t="shared" si="791"/>
        <v>353933.95999999996</v>
      </c>
      <c r="Z114" s="59">
        <f t="shared" si="810"/>
        <v>0.69746446141947582</v>
      </c>
      <c r="AA114" s="36">
        <f t="shared" si="792"/>
        <v>39325.99555555555</v>
      </c>
      <c r="AB114" s="36">
        <f>AB115</f>
        <v>44321.9568</v>
      </c>
      <c r="AD114" s="69"/>
      <c r="AG114" s="36">
        <f>AG115</f>
        <v>20996.23</v>
      </c>
      <c r="AH114" s="59">
        <f t="shared" si="765"/>
        <v>0.47372073608446819</v>
      </c>
      <c r="AI114" s="36">
        <f>AI115</f>
        <v>52587.360000000001</v>
      </c>
      <c r="AJ114" s="59">
        <f t="shared" ref="AJ114" si="1231">AI114/$AB114</f>
        <v>1.186485520873934</v>
      </c>
      <c r="AK114" s="36">
        <f>AK115</f>
        <v>0</v>
      </c>
      <c r="AL114" s="59">
        <f t="shared" si="516"/>
        <v>0</v>
      </c>
      <c r="AM114" s="36">
        <f>AM115</f>
        <v>39204.83</v>
      </c>
      <c r="AN114" s="59">
        <f t="shared" si="517"/>
        <v>0.88454646027722317</v>
      </c>
      <c r="AO114" s="36">
        <f>AO115</f>
        <v>21159.89</v>
      </c>
      <c r="AP114" s="59">
        <f t="shared" si="518"/>
        <v>0.47741326258411043</v>
      </c>
      <c r="AQ114" s="36">
        <f>AQ115</f>
        <v>10492.92</v>
      </c>
      <c r="AR114" s="59">
        <f t="shared" si="519"/>
        <v>0.23674315751329825</v>
      </c>
      <c r="AS114" s="36">
        <f>AS115</f>
        <v>12130.54</v>
      </c>
      <c r="AT114" s="59">
        <f t="shared" si="571"/>
        <v>0.27369143593407413</v>
      </c>
      <c r="AU114" s="36">
        <f>AU115</f>
        <v>9155.42</v>
      </c>
      <c r="AV114" s="59">
        <f t="shared" si="572"/>
        <v>0.20656624077572316</v>
      </c>
      <c r="AW114" s="36">
        <f>AW115</f>
        <v>16812.53</v>
      </c>
      <c r="AX114" s="59">
        <f t="shared" si="573"/>
        <v>0.37932734052933326</v>
      </c>
      <c r="AY114" s="36">
        <f>AY115</f>
        <v>26678.010000000006</v>
      </c>
      <c r="AZ114" s="59">
        <f t="shared" si="574"/>
        <v>0.6019140833601464</v>
      </c>
      <c r="BA114" s="36">
        <f t="shared" si="794"/>
        <v>209217.73000000004</v>
      </c>
      <c r="BB114" s="59">
        <f t="shared" si="795"/>
        <v>0.39336735316102595</v>
      </c>
      <c r="BC114" s="36">
        <f t="shared" si="778"/>
        <v>23246.41444444445</v>
      </c>
      <c r="BD114" s="36">
        <f>BD115</f>
        <v>46544.501027555554</v>
      </c>
      <c r="BE114" s="36">
        <f t="shared" si="779"/>
        <v>558534.01233066665</v>
      </c>
      <c r="BF114" s="134">
        <f>BF115</f>
        <v>521000.00233066658</v>
      </c>
      <c r="BG114" s="134">
        <f t="shared" si="753"/>
        <v>43416.666860888879</v>
      </c>
      <c r="BH114" s="36">
        <f>BH115</f>
        <v>18228.7</v>
      </c>
      <c r="BI114" s="59">
        <f t="shared" si="754"/>
        <v>0.41985489255558206</v>
      </c>
      <c r="BJ114" s="36">
        <f>BJ115</f>
        <v>25787.480000000003</v>
      </c>
      <c r="BK114" s="59">
        <f t="shared" si="754"/>
        <v>0.59395347143127164</v>
      </c>
      <c r="BL114" s="36">
        <f>BL115</f>
        <v>35745.649999999994</v>
      </c>
      <c r="BM114" s="59">
        <f t="shared" ref="BM114" si="1232">BL114/$BG114</f>
        <v>0.82331631109620751</v>
      </c>
      <c r="BN114" s="36">
        <f>BN115</f>
        <v>26567.61</v>
      </c>
      <c r="BO114" s="59">
        <f t="shared" ref="BO114" si="1233">BN114/$BG114</f>
        <v>0.61192191664839546</v>
      </c>
      <c r="BP114" s="36">
        <f>BP115</f>
        <v>31035.350000000002</v>
      </c>
      <c r="BQ114" s="59">
        <f t="shared" ref="BQ114" si="1234">BP114/$BG114</f>
        <v>0.71482571657193783</v>
      </c>
      <c r="BR114" s="36">
        <f>BR115</f>
        <v>27475.080000000005</v>
      </c>
      <c r="BS114" s="59">
        <f t="shared" ref="BS114" si="1235">BR114/$BG114</f>
        <v>0.63282333690038362</v>
      </c>
      <c r="BT114" s="36">
        <f>BT115</f>
        <v>42544.61</v>
      </c>
      <c r="BU114" s="59">
        <f t="shared" ref="BU114" si="1236">BT114/$BG114</f>
        <v>0.97991423745901474</v>
      </c>
      <c r="BV114" s="36">
        <f>BV115</f>
        <v>16784.25</v>
      </c>
      <c r="BW114" s="59">
        <f t="shared" ref="BW114" si="1237">BV114/$BG114</f>
        <v>0.3865854109385764</v>
      </c>
      <c r="BX114" s="36">
        <f>BX115</f>
        <v>71097.12999999999</v>
      </c>
      <c r="BY114" s="59">
        <f t="shared" ref="BY114" si="1238">BX114/$BG114</f>
        <v>1.6375538506399383</v>
      </c>
      <c r="BZ114" s="36">
        <v>37615.69</v>
      </c>
      <c r="CA114" s="59">
        <f t="shared" ref="CA114" si="1239">BZ114/$BG114</f>
        <v>0.86638824948318216</v>
      </c>
      <c r="CB114" s="36">
        <f>CB115</f>
        <v>33168.04</v>
      </c>
      <c r="CC114" s="59">
        <f t="shared" ref="CC114" si="1240">CB114/$BG114</f>
        <v>0.76394717508540089</v>
      </c>
      <c r="CD114" s="36">
        <f>CD115</f>
        <v>72474.290000000008</v>
      </c>
      <c r="CE114" s="59">
        <f t="shared" ref="CE114" si="1241">CD114/$BG114</f>
        <v>1.6692734666208835</v>
      </c>
      <c r="CF114" s="36">
        <f>CF115</f>
        <v>438523.88000000006</v>
      </c>
      <c r="CG114" s="59">
        <f t="shared" si="834"/>
        <v>0.84169650295256471</v>
      </c>
    </row>
    <row r="115" spans="1:85" ht="15.75" x14ac:dyDescent="0.25">
      <c r="A115" s="41" t="s">
        <v>81</v>
      </c>
      <c r="B115" s="42">
        <v>538665.89442499995</v>
      </c>
      <c r="C115" s="42">
        <v>347926.82</v>
      </c>
      <c r="D115" s="43">
        <v>493083.68000000005</v>
      </c>
      <c r="E115" s="43">
        <v>507458.0564</v>
      </c>
      <c r="F115" s="43">
        <f t="shared" si="1184"/>
        <v>42288.171366666669</v>
      </c>
      <c r="G115" s="43">
        <f>SUM(G116:G132)</f>
        <v>23059.79</v>
      </c>
      <c r="H115" s="60">
        <f t="shared" si="806"/>
        <v>0.54530118599965538</v>
      </c>
      <c r="I115" s="43">
        <f>SUM(I116:I132)</f>
        <v>70304.929999999993</v>
      </c>
      <c r="J115" s="60">
        <f t="shared" si="807"/>
        <v>1.6625199843807226</v>
      </c>
      <c r="K115" s="43">
        <f>SUM(K116:K132)</f>
        <v>39122.080000000002</v>
      </c>
      <c r="L115" s="60">
        <f t="shared" si="808"/>
        <v>0.92513056809161731</v>
      </c>
      <c r="M115" s="43">
        <f>SUM(M116:M132)</f>
        <v>49712.049999999996</v>
      </c>
      <c r="N115" s="60">
        <f t="shared" si="809"/>
        <v>1.1755544965272522</v>
      </c>
      <c r="O115" s="66">
        <f>SUM(O116:O132)</f>
        <v>34397.99</v>
      </c>
      <c r="P115" s="60">
        <f t="shared" si="790"/>
        <v>0.81341871469793448</v>
      </c>
      <c r="Q115" s="66">
        <f>SUM(Q116:Q132)</f>
        <v>36900.42</v>
      </c>
      <c r="R115" s="60">
        <f t="shared" si="511"/>
        <v>0.87259436403737412</v>
      </c>
      <c r="S115" s="66">
        <f>SUM(S116:S132)</f>
        <v>16061.84</v>
      </c>
      <c r="T115" s="60">
        <f t="shared" si="512"/>
        <v>0.37981874081839878</v>
      </c>
      <c r="U115" s="66">
        <f>SUM(U116:U132)</f>
        <v>24856.040000000005</v>
      </c>
      <c r="V115" s="60">
        <f t="shared" si="513"/>
        <v>0.58777760297274495</v>
      </c>
      <c r="W115" s="66">
        <f>SUM(W116:W132)</f>
        <v>59518.82</v>
      </c>
      <c r="X115" s="60">
        <f t="shared" si="881"/>
        <v>1.4074578795080097</v>
      </c>
      <c r="Y115" s="43">
        <f t="shared" si="791"/>
        <v>353933.95999999996</v>
      </c>
      <c r="Z115" s="60">
        <f t="shared" si="810"/>
        <v>0.69746446141947582</v>
      </c>
      <c r="AA115" s="43">
        <f t="shared" si="792"/>
        <v>39325.99555555555</v>
      </c>
      <c r="AB115" s="43">
        <f>SUM(AB116:AB132)</f>
        <v>44321.9568</v>
      </c>
      <c r="AD115" s="69"/>
      <c r="AG115" s="43">
        <f>SUM(AG116:AG132)</f>
        <v>20996.23</v>
      </c>
      <c r="AH115" s="60">
        <f t="shared" si="765"/>
        <v>0.47372073608446819</v>
      </c>
      <c r="AI115" s="43">
        <f>SUM(AI116:AI132)</f>
        <v>52587.360000000001</v>
      </c>
      <c r="AJ115" s="60">
        <f t="shared" ref="AJ115" si="1242">AI115/$AB115</f>
        <v>1.186485520873934</v>
      </c>
      <c r="AK115" s="43">
        <f>SUM(AK116:AK132)</f>
        <v>0</v>
      </c>
      <c r="AL115" s="60">
        <f t="shared" si="516"/>
        <v>0</v>
      </c>
      <c r="AM115" s="43">
        <f>SUM(AM116:AM132)</f>
        <v>39204.83</v>
      </c>
      <c r="AN115" s="60">
        <f t="shared" si="517"/>
        <v>0.88454646027722317</v>
      </c>
      <c r="AO115" s="43">
        <f>SUM(AO116:AO132)</f>
        <v>21159.89</v>
      </c>
      <c r="AP115" s="60">
        <f t="shared" si="518"/>
        <v>0.47741326258411043</v>
      </c>
      <c r="AQ115" s="43">
        <f>SUM(AQ116:AQ132)</f>
        <v>10492.92</v>
      </c>
      <c r="AR115" s="60">
        <f t="shared" si="519"/>
        <v>0.23674315751329825</v>
      </c>
      <c r="AS115" s="43">
        <f>SUM(AS116:AS132)</f>
        <v>12130.54</v>
      </c>
      <c r="AT115" s="60">
        <f t="shared" si="571"/>
        <v>0.27369143593407413</v>
      </c>
      <c r="AU115" s="43">
        <f>SUM(AU116:AU132)</f>
        <v>9155.42</v>
      </c>
      <c r="AV115" s="60">
        <f t="shared" si="572"/>
        <v>0.20656624077572316</v>
      </c>
      <c r="AW115" s="43">
        <f>SUM(AW116:AW132)</f>
        <v>16812.53</v>
      </c>
      <c r="AX115" s="60">
        <f t="shared" si="573"/>
        <v>0.37932734052933326</v>
      </c>
      <c r="AY115" s="43">
        <f>SUM(AY116:AY132)</f>
        <v>26678.010000000006</v>
      </c>
      <c r="AZ115" s="60">
        <f t="shared" si="574"/>
        <v>0.6019140833601464</v>
      </c>
      <c r="BA115" s="43">
        <f t="shared" si="794"/>
        <v>209217.73000000004</v>
      </c>
      <c r="BB115" s="60">
        <f t="shared" si="795"/>
        <v>0.39336735316102595</v>
      </c>
      <c r="BC115" s="43">
        <f t="shared" si="778"/>
        <v>23246.41444444445</v>
      </c>
      <c r="BD115" s="43">
        <f>SUM(BD116:BD132)</f>
        <v>46544.501027555554</v>
      </c>
      <c r="BE115" s="43">
        <f t="shared" si="779"/>
        <v>558534.01233066665</v>
      </c>
      <c r="BF115" s="136">
        <f>SUM(BF116:BF132)</f>
        <v>521000.00233066658</v>
      </c>
      <c r="BG115" s="136">
        <f t="shared" si="753"/>
        <v>43416.666860888879</v>
      </c>
      <c r="BH115" s="43">
        <f>SUM(BH116:BH132)</f>
        <v>18228.7</v>
      </c>
      <c r="BI115" s="60">
        <f t="shared" si="754"/>
        <v>0.41985489255558206</v>
      </c>
      <c r="BJ115" s="43">
        <f>SUM(BJ116:BJ132)</f>
        <v>25787.480000000003</v>
      </c>
      <c r="BK115" s="60">
        <f t="shared" si="754"/>
        <v>0.59395347143127164</v>
      </c>
      <c r="BL115" s="43">
        <f>SUM(BL116:BL132)</f>
        <v>35745.649999999994</v>
      </c>
      <c r="BM115" s="60">
        <f t="shared" ref="BM115" si="1243">BL115/$BG115</f>
        <v>0.82331631109620751</v>
      </c>
      <c r="BN115" s="43">
        <f>SUM(BN116:BN132)</f>
        <v>26567.61</v>
      </c>
      <c r="BO115" s="60">
        <f t="shared" ref="BO115" si="1244">BN115/$BG115</f>
        <v>0.61192191664839546</v>
      </c>
      <c r="BP115" s="43">
        <f>SUM(BP116:BP132)</f>
        <v>31035.350000000002</v>
      </c>
      <c r="BQ115" s="60">
        <f t="shared" ref="BQ115" si="1245">BP115/$BG115</f>
        <v>0.71482571657193783</v>
      </c>
      <c r="BR115" s="43">
        <f>SUM(BR116:BR132)</f>
        <v>27475.080000000005</v>
      </c>
      <c r="BS115" s="60">
        <f t="shared" ref="BS115" si="1246">BR115/$BG115</f>
        <v>0.63282333690038362</v>
      </c>
      <c r="BT115" s="43">
        <f>SUM(BT116:BT132)</f>
        <v>42544.61</v>
      </c>
      <c r="BU115" s="60">
        <f t="shared" ref="BU115" si="1247">BT115/$BG115</f>
        <v>0.97991423745901474</v>
      </c>
      <c r="BV115" s="43">
        <f>SUM(BV116:BV132)</f>
        <v>16784.25</v>
      </c>
      <c r="BW115" s="60">
        <f t="shared" ref="BW115" si="1248">BV115/$BG115</f>
        <v>0.3865854109385764</v>
      </c>
      <c r="BX115" s="43">
        <f>SUM(BX116:BX132)</f>
        <v>71097.12999999999</v>
      </c>
      <c r="BY115" s="60">
        <f t="shared" ref="BY115" si="1249">BX115/$BG115</f>
        <v>1.6375538506399383</v>
      </c>
      <c r="BZ115" s="43">
        <v>37615.69</v>
      </c>
      <c r="CA115" s="60">
        <f t="shared" ref="CA115" si="1250">BZ115/$BG115</f>
        <v>0.86638824948318216</v>
      </c>
      <c r="CB115" s="43">
        <f>SUM(CB116:CB132)</f>
        <v>33168.04</v>
      </c>
      <c r="CC115" s="60">
        <f t="shared" ref="CC115" si="1251">CB115/$BG115</f>
        <v>0.76394717508540089</v>
      </c>
      <c r="CD115" s="43">
        <f>SUM(CD116:CD132)</f>
        <v>72474.290000000008</v>
      </c>
      <c r="CE115" s="60">
        <f t="shared" ref="CE115" si="1252">CD115/$BG115</f>
        <v>1.6692734666208835</v>
      </c>
      <c r="CF115" s="43">
        <f>SUM(CF116:CF132)</f>
        <v>438523.88000000006</v>
      </c>
      <c r="CG115" s="60">
        <f t="shared" si="834"/>
        <v>0.84169650295256471</v>
      </c>
    </row>
    <row r="116" spans="1:85" ht="15.75" x14ac:dyDescent="0.25">
      <c r="A116" s="47" t="s">
        <v>82</v>
      </c>
      <c r="B116" s="25">
        <v>35870</v>
      </c>
      <c r="C116" s="26">
        <v>30887.61</v>
      </c>
      <c r="D116" s="26">
        <v>41183.480000000003</v>
      </c>
      <c r="E116" s="25">
        <v>38000</v>
      </c>
      <c r="F116" s="25">
        <f t="shared" si="1184"/>
        <v>3166.6666666666665</v>
      </c>
      <c r="G116" s="25">
        <v>3965.24</v>
      </c>
      <c r="H116" s="58">
        <f t="shared" si="806"/>
        <v>1.2521810526315789</v>
      </c>
      <c r="I116" s="25">
        <v>24473</v>
      </c>
      <c r="J116" s="58">
        <f t="shared" si="807"/>
        <v>7.7283157894736849</v>
      </c>
      <c r="K116" s="25"/>
      <c r="L116" s="58">
        <f t="shared" si="808"/>
        <v>0</v>
      </c>
      <c r="M116" s="25"/>
      <c r="N116" s="58">
        <f t="shared" si="809"/>
        <v>0</v>
      </c>
      <c r="O116" s="64">
        <v>9356.75</v>
      </c>
      <c r="P116" s="58">
        <f t="shared" si="790"/>
        <v>2.9547631578947371</v>
      </c>
      <c r="Q116" s="64">
        <v>113.98</v>
      </c>
      <c r="R116" s="58">
        <f t="shared" si="511"/>
        <v>3.5993684210526317E-2</v>
      </c>
      <c r="S116" s="64">
        <v>1604.29</v>
      </c>
      <c r="T116" s="58">
        <f t="shared" si="512"/>
        <v>0.50661789473684216</v>
      </c>
      <c r="U116" s="64">
        <v>1015.98</v>
      </c>
      <c r="V116" s="58">
        <f t="shared" si="513"/>
        <v>0.32083578947368424</v>
      </c>
      <c r="W116" s="64">
        <v>9840.1299999999992</v>
      </c>
      <c r="X116" s="58">
        <f t="shared" si="881"/>
        <v>3.1074094736842106</v>
      </c>
      <c r="Y116" s="25">
        <f t="shared" si="791"/>
        <v>50369.37</v>
      </c>
      <c r="Z116" s="58">
        <f t="shared" si="810"/>
        <v>1.3255097368421054</v>
      </c>
      <c r="AA116" s="25">
        <f t="shared" si="792"/>
        <v>5596.5966666666673</v>
      </c>
      <c r="AB116" s="25">
        <v>3800</v>
      </c>
      <c r="AD116" s="69">
        <f t="shared" si="847"/>
        <v>0.67898407305868624</v>
      </c>
      <c r="AG116" s="25">
        <v>2556.6</v>
      </c>
      <c r="AH116" s="58">
        <f t="shared" si="765"/>
        <v>0.67278947368421049</v>
      </c>
      <c r="AI116" s="25">
        <v>24598</v>
      </c>
      <c r="AJ116" s="58">
        <f t="shared" ref="AJ116" si="1253">AI116/$AB116</f>
        <v>6.4731578947368424</v>
      </c>
      <c r="AK116" s="25"/>
      <c r="AL116" s="58">
        <f t="shared" si="516"/>
        <v>0</v>
      </c>
      <c r="AM116" s="25"/>
      <c r="AN116" s="58">
        <f t="shared" si="517"/>
        <v>0</v>
      </c>
      <c r="AO116" s="25"/>
      <c r="AP116" s="58">
        <f t="shared" si="518"/>
        <v>0</v>
      </c>
      <c r="AQ116" s="25"/>
      <c r="AR116" s="58">
        <f t="shared" si="519"/>
        <v>0</v>
      </c>
      <c r="AS116" s="25"/>
      <c r="AT116" s="58">
        <f t="shared" si="571"/>
        <v>0</v>
      </c>
      <c r="AU116" s="25"/>
      <c r="AV116" s="58">
        <f t="shared" si="572"/>
        <v>0</v>
      </c>
      <c r="AW116" s="25"/>
      <c r="AX116" s="58">
        <f t="shared" si="573"/>
        <v>0</v>
      </c>
      <c r="AY116" s="25"/>
      <c r="AZ116" s="58">
        <f t="shared" si="574"/>
        <v>0</v>
      </c>
      <c r="BA116" s="25">
        <f t="shared" si="794"/>
        <v>27154.6</v>
      </c>
      <c r="BB116" s="58">
        <f t="shared" si="795"/>
        <v>0.59549561403508766</v>
      </c>
      <c r="BC116" s="25">
        <f t="shared" si="778"/>
        <v>3017.1777777777775</v>
      </c>
      <c r="BD116" s="25">
        <f>AB116*BA1</f>
        <v>3952</v>
      </c>
      <c r="BE116" s="25">
        <f t="shared" si="779"/>
        <v>47424</v>
      </c>
      <c r="BF116" s="129">
        <v>47424</v>
      </c>
      <c r="BG116" s="129">
        <f t="shared" si="753"/>
        <v>3952</v>
      </c>
      <c r="BH116" s="25">
        <v>4630.68</v>
      </c>
      <c r="BI116" s="58">
        <f t="shared" si="754"/>
        <v>1.1717307692307692</v>
      </c>
      <c r="BJ116" s="25">
        <v>4480</v>
      </c>
      <c r="BK116" s="58">
        <f t="shared" si="754"/>
        <v>1.1336032388663968</v>
      </c>
      <c r="BL116" s="25">
        <v>10880</v>
      </c>
      <c r="BM116" s="58">
        <f t="shared" ref="BM116" si="1254">BL116/$BG116</f>
        <v>2.7530364372469633</v>
      </c>
      <c r="BN116" s="25"/>
      <c r="BO116" s="58">
        <f t="shared" ref="BO116" si="1255">BN116/$BG116</f>
        <v>0</v>
      </c>
      <c r="BP116" s="25"/>
      <c r="BQ116" s="58">
        <f t="shared" ref="BQ116" si="1256">BP116/$BG116</f>
        <v>0</v>
      </c>
      <c r="BR116" s="25">
        <f>188-153</f>
        <v>35</v>
      </c>
      <c r="BS116" s="58">
        <f t="shared" ref="BS116" si="1257">BR116/$BG116</f>
        <v>8.856275303643725E-3</v>
      </c>
      <c r="BT116" s="25">
        <v>10578.7</v>
      </c>
      <c r="BU116" s="58">
        <f t="shared" ref="BU116" si="1258">BT116/$BG116</f>
        <v>2.6767965587044538</v>
      </c>
      <c r="BV116" s="25">
        <v>90</v>
      </c>
      <c r="BW116" s="58">
        <f t="shared" ref="BW116" si="1259">BV116/$BG116</f>
        <v>2.277327935222672E-2</v>
      </c>
      <c r="BX116" s="25">
        <v>24742</v>
      </c>
      <c r="BY116" s="58">
        <f t="shared" ref="BY116" si="1260">BX116/$BG116</f>
        <v>6.2606275303643724</v>
      </c>
      <c r="BZ116" s="25"/>
      <c r="CA116" s="58">
        <f t="shared" ref="CA116" si="1261">BZ116/$BG116</f>
        <v>0</v>
      </c>
      <c r="CB116" s="25"/>
      <c r="CC116" s="58">
        <f t="shared" ref="CC116" si="1262">CB116/$BG116</f>
        <v>0</v>
      </c>
      <c r="CD116" s="25">
        <v>6422.1</v>
      </c>
      <c r="CE116" s="58">
        <f t="shared" ref="CE116" si="1263">CD116/$BG116</f>
        <v>1.6250253036437248</v>
      </c>
      <c r="CF116" s="25">
        <f t="shared" ref="CF116:CF132" si="1264">BH116+BJ116+BL116+BN116+BP116+BR116+BT116+BV116+BX116+BZ116+CB116+CD116</f>
        <v>61858.48</v>
      </c>
      <c r="CG116" s="58">
        <f t="shared" si="834"/>
        <v>1.304370782726046</v>
      </c>
    </row>
    <row r="117" spans="1:85" ht="15.75" x14ac:dyDescent="0.25">
      <c r="A117" s="47" t="s">
        <v>83</v>
      </c>
      <c r="B117" s="25">
        <v>159442.81</v>
      </c>
      <c r="C117" s="26">
        <v>113553.13</v>
      </c>
      <c r="D117" s="26">
        <v>151404.17333333334</v>
      </c>
      <c r="E117" s="25">
        <v>157460.34026666667</v>
      </c>
      <c r="F117" s="25">
        <f t="shared" si="1184"/>
        <v>13121.695022222222</v>
      </c>
      <c r="G117" s="25">
        <f>6190.66+232-255.2</f>
        <v>6167.46</v>
      </c>
      <c r="H117" s="58">
        <f t="shared" si="806"/>
        <v>0.47002006901967386</v>
      </c>
      <c r="I117" s="25">
        <f>15004.96-92.46+232</f>
        <v>15144.5</v>
      </c>
      <c r="J117" s="58">
        <f t="shared" si="807"/>
        <v>1.1541572925107664</v>
      </c>
      <c r="K117" s="25">
        <f>9317.35</f>
        <v>9317.35</v>
      </c>
      <c r="L117" s="58">
        <f t="shared" si="808"/>
        <v>0.71007213505729405</v>
      </c>
      <c r="M117" s="25">
        <f>10049.13-23</f>
        <v>10026.129999999999</v>
      </c>
      <c r="N117" s="58">
        <f t="shared" si="809"/>
        <v>0.76408802239499285</v>
      </c>
      <c r="O117" s="64"/>
      <c r="P117" s="58">
        <f t="shared" si="790"/>
        <v>0</v>
      </c>
      <c r="Q117" s="64">
        <v>8733.75</v>
      </c>
      <c r="R117" s="58">
        <f t="shared" si="511"/>
        <v>0.66559617375719937</v>
      </c>
      <c r="S117" s="64">
        <v>2689.52</v>
      </c>
      <c r="T117" s="58">
        <f t="shared" si="512"/>
        <v>0.20496742192568632</v>
      </c>
      <c r="U117" s="64">
        <f>6040.95-94.82</f>
        <v>5946.13</v>
      </c>
      <c r="V117" s="58">
        <f t="shared" si="513"/>
        <v>0.45315258355951293</v>
      </c>
      <c r="W117" s="64">
        <f>12452.87</f>
        <v>12452.87</v>
      </c>
      <c r="X117" s="58">
        <f t="shared" si="881"/>
        <v>0.94902906818901567</v>
      </c>
      <c r="Y117" s="25">
        <f t="shared" si="791"/>
        <v>70477.709999999992</v>
      </c>
      <c r="Z117" s="58">
        <f t="shared" si="810"/>
        <v>0.44759023053451175</v>
      </c>
      <c r="AA117" s="25">
        <f t="shared" si="792"/>
        <v>7830.8566666666657</v>
      </c>
      <c r="AB117" s="25">
        <v>11665.13</v>
      </c>
      <c r="AD117" s="69">
        <f t="shared" si="847"/>
        <v>1.4896365106073963</v>
      </c>
      <c r="AG117" s="25">
        <f>5100.97-198.3</f>
        <v>4902.67</v>
      </c>
      <c r="AH117" s="58">
        <f t="shared" si="765"/>
        <v>0.42028421457797732</v>
      </c>
      <c r="AI117" s="25">
        <f>8771.87-96.87</f>
        <v>8675</v>
      </c>
      <c r="AJ117" s="58">
        <f t="shared" ref="AJ117" si="1265">AI117/$AB117</f>
        <v>0.74366938045268249</v>
      </c>
      <c r="AK117" s="25"/>
      <c r="AL117" s="58">
        <f t="shared" ref="AL117:AL156" si="1266">AK117/$AB117</f>
        <v>0</v>
      </c>
      <c r="AM117" s="25">
        <v>8551.17</v>
      </c>
      <c r="AN117" s="58">
        <f t="shared" ref="AN117:AN156" si="1267">AM117/$AB117</f>
        <v>0.73305398225309115</v>
      </c>
      <c r="AO117" s="25">
        <f>1173.34</f>
        <v>1173.3399999999999</v>
      </c>
      <c r="AP117" s="58">
        <f t="shared" ref="AP117:AP156" si="1268">AO117/$AB117</f>
        <v>0.10058524851416144</v>
      </c>
      <c r="AQ117" s="25">
        <f>3744.65-36.16</f>
        <v>3708.4900000000002</v>
      </c>
      <c r="AR117" s="58">
        <f t="shared" ref="AR117:AR156" si="1269">AQ117/$AB117</f>
        <v>0.31791244503918947</v>
      </c>
      <c r="AS117" s="25">
        <v>3744.65</v>
      </c>
      <c r="AT117" s="58">
        <f t="shared" si="571"/>
        <v>0.32101228190341646</v>
      </c>
      <c r="AU117" s="25">
        <v>2341.85</v>
      </c>
      <c r="AV117" s="58">
        <f t="shared" si="572"/>
        <v>0.2007564424914253</v>
      </c>
      <c r="AW117" s="25">
        <v>8651.92</v>
      </c>
      <c r="AX117" s="58">
        <f t="shared" si="573"/>
        <v>0.7416908341355819</v>
      </c>
      <c r="AY117" s="25">
        <f>12542.22-27.72</f>
        <v>12514.5</v>
      </c>
      <c r="AZ117" s="58">
        <f t="shared" si="574"/>
        <v>1.0728127333343049</v>
      </c>
      <c r="BA117" s="25">
        <f t="shared" si="794"/>
        <v>54263.590000000004</v>
      </c>
      <c r="BB117" s="58">
        <f t="shared" si="795"/>
        <v>0.38764813022515254</v>
      </c>
      <c r="BC117" s="25">
        <f t="shared" si="778"/>
        <v>6029.2877777777785</v>
      </c>
      <c r="BD117" s="25">
        <f>AB117*BA1</f>
        <v>12131.735199999999</v>
      </c>
      <c r="BE117" s="25">
        <f t="shared" si="779"/>
        <v>145580.8224</v>
      </c>
      <c r="BF117" s="129">
        <v>145580.8224</v>
      </c>
      <c r="BG117" s="129">
        <f t="shared" si="753"/>
        <v>12131.735200000001</v>
      </c>
      <c r="BH117" s="25">
        <f>7389.18-214.65</f>
        <v>7174.5300000000007</v>
      </c>
      <c r="BI117" s="58">
        <f t="shared" si="754"/>
        <v>0.59138531147630058</v>
      </c>
      <c r="BJ117" s="25">
        <f>10105.94-69.06-2000</f>
        <v>8036.880000000001</v>
      </c>
      <c r="BK117" s="58">
        <f t="shared" si="754"/>
        <v>0.66246747621065782</v>
      </c>
      <c r="BL117" s="25">
        <f>11232.28-2000</f>
        <v>9232.2800000000007</v>
      </c>
      <c r="BM117" s="58">
        <f t="shared" ref="BM117" si="1270">BL117/$BG117</f>
        <v>0.76100243269404688</v>
      </c>
      <c r="BN117" s="25">
        <f>14710.93-97.75-2000</f>
        <v>12613.18</v>
      </c>
      <c r="BO117" s="58">
        <f t="shared" ref="BO117" si="1271">BN117/$BG117</f>
        <v>1.0396847435311645</v>
      </c>
      <c r="BP117" s="25">
        <f>13522.42-2000</f>
        <v>11522.42</v>
      </c>
      <c r="BQ117" s="58">
        <f t="shared" ref="BQ117" si="1272">BP117/$BG117</f>
        <v>0.94977509894874723</v>
      </c>
      <c r="BR117" s="25">
        <f>13954.95-2083.3</f>
        <v>11871.650000000001</v>
      </c>
      <c r="BS117" s="58">
        <f t="shared" ref="BS117" si="1273">BR117/$BG117</f>
        <v>0.97856158284760453</v>
      </c>
      <c r="BT117" s="25">
        <f>11299.37-89.06</f>
        <v>11210.310000000001</v>
      </c>
      <c r="BU117" s="58">
        <f t="shared" ref="BU117" si="1274">BT117/$BG117</f>
        <v>0.92404835872118285</v>
      </c>
      <c r="BV117" s="25">
        <f>11484.59-4043.1</f>
        <v>7441.49</v>
      </c>
      <c r="BW117" s="58">
        <f t="shared" ref="BW117" si="1275">BV117/$BG117</f>
        <v>0.61339040766402475</v>
      </c>
      <c r="BX117" s="25">
        <f>19807.03-4000</f>
        <v>15807.029999999999</v>
      </c>
      <c r="BY117" s="58">
        <f t="shared" ref="BY117" si="1276">BX117/$BG117</f>
        <v>1.302948814774658</v>
      </c>
      <c r="BZ117" s="25">
        <v>10150.67</v>
      </c>
      <c r="CA117" s="58">
        <f t="shared" ref="CA117" si="1277">BZ117/$BG117</f>
        <v>0.83670388717353472</v>
      </c>
      <c r="CB117" s="25">
        <f>15258.92-4000</f>
        <v>11258.92</v>
      </c>
      <c r="CC117" s="58">
        <f t="shared" ref="CC117" si="1278">CB117/$BG117</f>
        <v>0.92805520516141826</v>
      </c>
      <c r="CD117" s="25">
        <f>16098.98-4000</f>
        <v>12098.98</v>
      </c>
      <c r="CE117" s="58">
        <f t="shared" ref="CE117" si="1279">CD117/$BG117</f>
        <v>0.99730003998109018</v>
      </c>
      <c r="CF117" s="25">
        <f t="shared" si="1264"/>
        <v>128418.34</v>
      </c>
      <c r="CG117" s="58">
        <f t="shared" si="834"/>
        <v>0.88211027993203583</v>
      </c>
    </row>
    <row r="118" spans="1:85" ht="15.75" x14ac:dyDescent="0.25">
      <c r="A118" s="47" t="s">
        <v>38</v>
      </c>
      <c r="B118" s="25">
        <v>64463.926800000016</v>
      </c>
      <c r="C118" s="26">
        <v>46678.12</v>
      </c>
      <c r="D118" s="48">
        <v>62237.493333333332</v>
      </c>
      <c r="E118" s="49">
        <v>64726.99306666667</v>
      </c>
      <c r="F118" s="49">
        <f t="shared" si="1184"/>
        <v>5393.9160888888891</v>
      </c>
      <c r="G118" s="49">
        <f>1692.32+497.89+69.84</f>
        <v>2260.0500000000002</v>
      </c>
      <c r="H118" s="58">
        <f t="shared" si="806"/>
        <v>0.4189998440382775</v>
      </c>
      <c r="I118" s="49">
        <f>3790.73+7937.77+182.85</f>
        <v>11911.35</v>
      </c>
      <c r="J118" s="58">
        <f t="shared" si="807"/>
        <v>2.2082935299154163</v>
      </c>
      <c r="K118" s="49">
        <f>3107.77+941.87+121.87</f>
        <v>4171.51</v>
      </c>
      <c r="L118" s="58">
        <f t="shared" si="808"/>
        <v>0.77337317289622565</v>
      </c>
      <c r="M118" s="49">
        <f>3366.75+1023.72+132.03</f>
        <v>4522.5</v>
      </c>
      <c r="N118" s="58">
        <f t="shared" si="809"/>
        <v>0.83844463381921186</v>
      </c>
      <c r="O118" s="64">
        <f>2429.32+728.75+95.27</f>
        <v>3253.34</v>
      </c>
      <c r="P118" s="58">
        <f t="shared" si="790"/>
        <v>0.60314990933983303</v>
      </c>
      <c r="Q118" s="64">
        <f>2437.22+718.72+95.57</f>
        <v>3251.5099999999998</v>
      </c>
      <c r="R118" s="58">
        <f t="shared" si="511"/>
        <v>0.60281063821105696</v>
      </c>
      <c r="S118" s="64">
        <f>2146.54+628.54+84.17</f>
        <v>2859.25</v>
      </c>
      <c r="T118" s="58">
        <f t="shared" si="512"/>
        <v>0.53008796445496553</v>
      </c>
      <c r="U118" s="64">
        <f>1713.11+465.77+78.87</f>
        <v>2257.75</v>
      </c>
      <c r="V118" s="58">
        <f t="shared" si="513"/>
        <v>0.41857343770156452</v>
      </c>
      <c r="W118" s="64">
        <f>4053.95+1271.83+158.98</f>
        <v>5484.7599999999993</v>
      </c>
      <c r="X118" s="58">
        <f t="shared" si="881"/>
        <v>1.0168419214563316</v>
      </c>
      <c r="Y118" s="49">
        <f t="shared" si="791"/>
        <v>39972.020000000004</v>
      </c>
      <c r="Z118" s="58">
        <f t="shared" si="810"/>
        <v>0.61754792098607358</v>
      </c>
      <c r="AA118" s="49">
        <f t="shared" si="792"/>
        <v>4441.3355555555563</v>
      </c>
      <c r="AB118" s="25">
        <v>5871.78</v>
      </c>
      <c r="AD118" s="69">
        <f t="shared" si="847"/>
        <v>1.3220752916665204</v>
      </c>
      <c r="AG118" s="49">
        <f>2504.22+731.71+91.46</f>
        <v>3327.39</v>
      </c>
      <c r="AH118" s="58">
        <f t="shared" si="765"/>
        <v>0.56667484135986024</v>
      </c>
      <c r="AI118" s="49">
        <f>2983.48+871.75+108.97</f>
        <v>3964.2</v>
      </c>
      <c r="AJ118" s="58">
        <f t="shared" ref="AJ118" si="1280">AI118/$AB118</f>
        <v>0.67512747412198681</v>
      </c>
      <c r="AK118" s="49"/>
      <c r="AL118" s="58">
        <f t="shared" si="1266"/>
        <v>0</v>
      </c>
      <c r="AM118" s="49">
        <f>4124.39+1205.1+150.64</f>
        <v>5480.13</v>
      </c>
      <c r="AN118" s="58">
        <f t="shared" si="1267"/>
        <v>0.93329961272391004</v>
      </c>
      <c r="AO118" s="49">
        <f>3769.28-311.97+1109.24+138.65</f>
        <v>4705.2</v>
      </c>
      <c r="AP118" s="58">
        <f t="shared" si="1268"/>
        <v>0.80132430029735446</v>
      </c>
      <c r="AQ118" s="49">
        <f>833.87+243.65+304.56</f>
        <v>1382.08</v>
      </c>
      <c r="AR118" s="58">
        <f t="shared" si="1269"/>
        <v>0.23537666601950347</v>
      </c>
      <c r="AS118" s="49">
        <f>833.87+253.65+30.46-274.13</f>
        <v>843.85</v>
      </c>
      <c r="AT118" s="58">
        <f t="shared" si="571"/>
        <v>0.14371280940362208</v>
      </c>
      <c r="AU118" s="49">
        <f>449.78+243.65+16.42</f>
        <v>709.84999999999991</v>
      </c>
      <c r="AV118" s="58">
        <f t="shared" si="572"/>
        <v>0.12089179090497258</v>
      </c>
      <c r="AW118" s="49">
        <f>2368.83+692.15+86.52</f>
        <v>3147.5</v>
      </c>
      <c r="AX118" s="58">
        <f t="shared" si="573"/>
        <v>0.53603847555596429</v>
      </c>
      <c r="AY118" s="49">
        <f>2368.83+692.15+86.52</f>
        <v>3147.5</v>
      </c>
      <c r="AZ118" s="58">
        <f t="shared" si="574"/>
        <v>0.53603847555596429</v>
      </c>
      <c r="BA118" s="49">
        <f t="shared" si="794"/>
        <v>26707.699999999997</v>
      </c>
      <c r="BB118" s="58">
        <f t="shared" si="795"/>
        <v>0.37904037049526146</v>
      </c>
      <c r="BC118" s="49">
        <f t="shared" si="778"/>
        <v>2967.5222222222219</v>
      </c>
      <c r="BD118" s="49">
        <f>AB118*BA1</f>
        <v>6106.6512000000002</v>
      </c>
      <c r="BE118" s="49">
        <f t="shared" si="779"/>
        <v>73279.814400000003</v>
      </c>
      <c r="BF118" s="129">
        <v>73279.814400000003</v>
      </c>
      <c r="BG118" s="129">
        <f t="shared" si="753"/>
        <v>6106.6512000000002</v>
      </c>
      <c r="BH118" s="49">
        <f>1966.9+573.96+71.75</f>
        <v>2612.61</v>
      </c>
      <c r="BI118" s="58">
        <f t="shared" si="754"/>
        <v>0.42783023205910303</v>
      </c>
      <c r="BJ118" s="49">
        <f>2751.61+802.95+100.37</f>
        <v>3654.9300000000003</v>
      </c>
      <c r="BK118" s="58">
        <f t="shared" si="754"/>
        <v>0.59851625388396179</v>
      </c>
      <c r="BL118" s="49">
        <f>3079.33+898.58+112.32</f>
        <v>4090.23</v>
      </c>
      <c r="BM118" s="58">
        <f t="shared" ref="BM118" si="1281">BL118/$BG118</f>
        <v>0.66979918551758777</v>
      </c>
      <c r="BN118" s="49">
        <f>4041.84+1179.45+382.66</f>
        <v>5603.95</v>
      </c>
      <c r="BO118" s="58">
        <f t="shared" ref="BO118" si="1282">BN118/$BG118</f>
        <v>0.91767972600105274</v>
      </c>
      <c r="BP118" s="49">
        <f>3707.16+1081.8+434.38</f>
        <v>5223.34</v>
      </c>
      <c r="BQ118" s="58">
        <f t="shared" ref="BQ118" si="1283">BP118/$BG118</f>
        <v>0.85535260307646188</v>
      </c>
      <c r="BR118" s="49">
        <f>3802.91+1109.74+430.93</f>
        <v>5343.58</v>
      </c>
      <c r="BS118" s="58">
        <f t="shared" ref="BS118" si="1284">BR118/$BG118</f>
        <v>0.8750426092782243</v>
      </c>
      <c r="BT118" s="49">
        <f>4862.1+1418.81+476.23</f>
        <v>6757.1399999999994</v>
      </c>
      <c r="BU118" s="58">
        <f t="shared" ref="BU118" si="1285">BT118/$BG118</f>
        <v>1.1065213614951512</v>
      </c>
      <c r="BV118" s="49">
        <f>3148.5+918.76+324.54</f>
        <v>4391.8</v>
      </c>
      <c r="BW118" s="58">
        <f t="shared" ref="BW118" si="1286">BV118/$BG118</f>
        <v>0.71918304421906398</v>
      </c>
      <c r="BX118" s="49">
        <f>5546.63+1618.57+429.97</f>
        <v>7595.17</v>
      </c>
      <c r="BY118" s="58">
        <f t="shared" ref="BY118" si="1287">BX118/$BG118</f>
        <v>1.2437536959700597</v>
      </c>
      <c r="BZ118" s="49">
        <v>6035.31</v>
      </c>
      <c r="CA118" s="58">
        <f t="shared" ref="CA118" si="1288">BZ118/$BG118</f>
        <v>0.98831745949400229</v>
      </c>
      <c r="CB118" s="49">
        <f>4183.23+1916.58+368.69</f>
        <v>6468.4999999999991</v>
      </c>
      <c r="CC118" s="58">
        <f t="shared" ref="CC118" si="1289">CB118/$BG118</f>
        <v>1.0592548662350323</v>
      </c>
      <c r="CD118" s="49">
        <f>9535.53+2086.7+1340.37</f>
        <v>12962.599999999999</v>
      </c>
      <c r="CE118" s="58">
        <f t="shared" ref="CE118" si="1290">CD118/$BG118</f>
        <v>2.1227018828257291</v>
      </c>
      <c r="CF118" s="49">
        <f t="shared" si="1264"/>
        <v>70739.16</v>
      </c>
      <c r="CG118" s="58">
        <f t="shared" si="834"/>
        <v>0.96532941000461925</v>
      </c>
    </row>
    <row r="119" spans="1:85" ht="15.75" x14ac:dyDescent="0.25">
      <c r="A119" s="47" t="s">
        <v>84</v>
      </c>
      <c r="B119" s="25">
        <v>21421.717200000003</v>
      </c>
      <c r="C119" s="26">
        <v>11716.36</v>
      </c>
      <c r="D119" s="26">
        <v>15621.813333333334</v>
      </c>
      <c r="E119" s="25">
        <v>16246.685866666667</v>
      </c>
      <c r="F119" s="25">
        <f t="shared" si="1184"/>
        <v>1353.890488888889</v>
      </c>
      <c r="G119" s="25">
        <f>203.55+1065.22+354.14</f>
        <v>1622.9099999999999</v>
      </c>
      <c r="H119" s="58">
        <f t="shared" si="806"/>
        <v>1.1987010864755316</v>
      </c>
      <c r="I119" s="25">
        <f>255.2+1065.22+354.14</f>
        <v>1674.56</v>
      </c>
      <c r="J119" s="58">
        <f t="shared" si="807"/>
        <v>1.236850405363493</v>
      </c>
      <c r="K119" s="25">
        <f>1423.48+473.17</f>
        <v>1896.65</v>
      </c>
      <c r="L119" s="58">
        <f t="shared" si="808"/>
        <v>1.4008887835208468</v>
      </c>
      <c r="M119" s="25">
        <f>1136.81-290.09-99.86</f>
        <v>746.86</v>
      </c>
      <c r="N119" s="58">
        <f t="shared" si="809"/>
        <v>0.55163988973209577</v>
      </c>
      <c r="O119" s="64">
        <f>734.98+243.57</f>
        <v>978.55</v>
      </c>
      <c r="P119" s="58">
        <f t="shared" si="790"/>
        <v>0.72276894477859621</v>
      </c>
      <c r="Q119" s="64">
        <f>872.23+289.26</f>
        <v>1161.49</v>
      </c>
      <c r="R119" s="58">
        <f t="shared" si="511"/>
        <v>0.85789065624739835</v>
      </c>
      <c r="S119" s="64">
        <f>891.39+294.63</f>
        <v>1186.02</v>
      </c>
      <c r="T119" s="58">
        <f t="shared" si="512"/>
        <v>0.87600881292352017</v>
      </c>
      <c r="U119" s="64">
        <f>367.16+300.86+122.14</f>
        <v>790.16</v>
      </c>
      <c r="V119" s="58">
        <f t="shared" si="513"/>
        <v>0.58362179695085126</v>
      </c>
      <c r="W119" s="64">
        <f>3481.2+1052.75</f>
        <v>4533.95</v>
      </c>
      <c r="X119" s="58">
        <f t="shared" si="881"/>
        <v>3.3488306751611221</v>
      </c>
      <c r="Y119" s="25">
        <f t="shared" si="791"/>
        <v>14591.149999999998</v>
      </c>
      <c r="Z119" s="58">
        <f t="shared" si="810"/>
        <v>0.89810008759612125</v>
      </c>
      <c r="AA119" s="25">
        <f t="shared" si="792"/>
        <v>1621.2388888888886</v>
      </c>
      <c r="AB119" s="25">
        <v>1474.72</v>
      </c>
      <c r="AD119" s="69">
        <f t="shared" si="847"/>
        <v>0.90962535509538334</v>
      </c>
      <c r="AG119" s="25"/>
      <c r="AH119" s="58">
        <f t="shared" si="765"/>
        <v>0</v>
      </c>
      <c r="AI119" s="25"/>
      <c r="AJ119" s="58">
        <f t="shared" ref="AJ119" si="1291">AI119/$AB119</f>
        <v>0</v>
      </c>
      <c r="AK119" s="25"/>
      <c r="AL119" s="58">
        <f t="shared" si="1266"/>
        <v>0</v>
      </c>
      <c r="AM119" s="25"/>
      <c r="AN119" s="58">
        <f t="shared" si="1267"/>
        <v>0</v>
      </c>
      <c r="AO119" s="25"/>
      <c r="AP119" s="58">
        <f t="shared" si="1268"/>
        <v>0</v>
      </c>
      <c r="AQ119" s="25"/>
      <c r="AR119" s="58">
        <f t="shared" si="1269"/>
        <v>0</v>
      </c>
      <c r="AS119" s="25"/>
      <c r="AT119" s="58">
        <f t="shared" si="571"/>
        <v>0</v>
      </c>
      <c r="AU119" s="25"/>
      <c r="AV119" s="58">
        <f t="shared" si="572"/>
        <v>0</v>
      </c>
      <c r="AW119" s="25"/>
      <c r="AX119" s="58">
        <f t="shared" si="573"/>
        <v>0</v>
      </c>
      <c r="AY119" s="25"/>
      <c r="AZ119" s="58">
        <f t="shared" si="574"/>
        <v>0</v>
      </c>
      <c r="BA119" s="25">
        <f t="shared" si="794"/>
        <v>0</v>
      </c>
      <c r="BB119" s="58">
        <f t="shared" si="795"/>
        <v>0</v>
      </c>
      <c r="BC119" s="25">
        <f t="shared" si="778"/>
        <v>0</v>
      </c>
      <c r="BD119" s="25">
        <f>AB119*BA1</f>
        <v>1533.7088000000001</v>
      </c>
      <c r="BE119" s="25">
        <f t="shared" si="779"/>
        <v>18404.5056</v>
      </c>
      <c r="BF119" s="129">
        <v>18404.5056</v>
      </c>
      <c r="BG119" s="129">
        <f t="shared" si="753"/>
        <v>1533.7088000000001</v>
      </c>
      <c r="BH119" s="25"/>
      <c r="BI119" s="58">
        <f t="shared" si="754"/>
        <v>0</v>
      </c>
      <c r="BJ119" s="25"/>
      <c r="BK119" s="58">
        <f t="shared" si="754"/>
        <v>0</v>
      </c>
      <c r="BL119" s="25"/>
      <c r="BM119" s="58">
        <f t="shared" ref="BM119" si="1292">BL119/$BG119</f>
        <v>0</v>
      </c>
      <c r="BN119" s="25"/>
      <c r="BO119" s="58">
        <f t="shared" ref="BO119" si="1293">BN119/$BG119</f>
        <v>0</v>
      </c>
      <c r="BP119" s="25"/>
      <c r="BQ119" s="58">
        <f t="shared" ref="BQ119" si="1294">BP119/$BG119</f>
        <v>0</v>
      </c>
      <c r="BR119" s="25"/>
      <c r="BS119" s="58">
        <f t="shared" ref="BS119" si="1295">BR119/$BG119</f>
        <v>0</v>
      </c>
      <c r="BT119" s="25"/>
      <c r="BU119" s="58">
        <f t="shared" ref="BU119" si="1296">BT119/$BG119</f>
        <v>0</v>
      </c>
      <c r="BV119" s="25"/>
      <c r="BW119" s="58">
        <f t="shared" ref="BW119" si="1297">BV119/$BG119</f>
        <v>0</v>
      </c>
      <c r="BX119" s="25"/>
      <c r="BY119" s="58">
        <f t="shared" ref="BY119" si="1298">BX119/$BG119</f>
        <v>0</v>
      </c>
      <c r="BZ119" s="25"/>
      <c r="CA119" s="58">
        <f t="shared" ref="CA119" si="1299">BZ119/$BG119</f>
        <v>0</v>
      </c>
      <c r="CB119" s="25"/>
      <c r="CC119" s="58">
        <f t="shared" ref="CC119" si="1300">CB119/$BG119</f>
        <v>0</v>
      </c>
      <c r="CD119" s="25">
        <f>17448.06</f>
        <v>17448.060000000001</v>
      </c>
      <c r="CE119" s="58">
        <f t="shared" ref="CE119" si="1301">CD119/$BG119</f>
        <v>11.376383835053955</v>
      </c>
      <c r="CF119" s="25">
        <f t="shared" si="1264"/>
        <v>17448.060000000001</v>
      </c>
      <c r="CG119" s="58">
        <f t="shared" si="834"/>
        <v>0.94803198625449636</v>
      </c>
    </row>
    <row r="120" spans="1:85" ht="15.75" x14ac:dyDescent="0.25">
      <c r="A120" s="47" t="s">
        <v>85</v>
      </c>
      <c r="B120" s="25">
        <v>16800</v>
      </c>
      <c r="C120" s="26">
        <v>9286.5400000000009</v>
      </c>
      <c r="D120" s="26">
        <v>12382.053333333333</v>
      </c>
      <c r="E120" s="25">
        <v>20877.335466666667</v>
      </c>
      <c r="F120" s="25">
        <f t="shared" si="1184"/>
        <v>1739.7779555555555</v>
      </c>
      <c r="G120" s="25">
        <v>590</v>
      </c>
      <c r="H120" s="58">
        <f t="shared" si="806"/>
        <v>0.33912373594341694</v>
      </c>
      <c r="I120" s="25">
        <v>1780</v>
      </c>
      <c r="J120" s="58">
        <f t="shared" si="807"/>
        <v>1.0231190677614952</v>
      </c>
      <c r="K120" s="25">
        <v>2870</v>
      </c>
      <c r="L120" s="58">
        <f t="shared" si="808"/>
        <v>1.6496358002671299</v>
      </c>
      <c r="M120" s="25">
        <v>2040</v>
      </c>
      <c r="N120" s="58">
        <f t="shared" si="809"/>
        <v>1.1725634259738484</v>
      </c>
      <c r="O120" s="64">
        <v>170</v>
      </c>
      <c r="P120" s="58">
        <f t="shared" si="790"/>
        <v>9.7713618831154037E-2</v>
      </c>
      <c r="Q120" s="64">
        <v>824</v>
      </c>
      <c r="R120" s="58">
        <f t="shared" si="511"/>
        <v>0.47362365833453485</v>
      </c>
      <c r="S120" s="64">
        <v>470</v>
      </c>
      <c r="T120" s="58">
        <f t="shared" si="512"/>
        <v>0.2701494167684847</v>
      </c>
      <c r="U120" s="64">
        <v>310</v>
      </c>
      <c r="V120" s="58">
        <f t="shared" si="513"/>
        <v>0.17818365786857501</v>
      </c>
      <c r="W120" s="64">
        <v>3445</v>
      </c>
      <c r="X120" s="58">
        <f t="shared" si="881"/>
        <v>1.9801377463136802</v>
      </c>
      <c r="Y120" s="25">
        <f t="shared" si="791"/>
        <v>12499</v>
      </c>
      <c r="Z120" s="58">
        <f t="shared" si="810"/>
        <v>0.59868751067185988</v>
      </c>
      <c r="AA120" s="25">
        <f t="shared" si="792"/>
        <v>1388.7777777777778</v>
      </c>
      <c r="AB120" s="25">
        <v>1670</v>
      </c>
      <c r="AD120" s="69">
        <f t="shared" si="847"/>
        <v>1.2024961996959755</v>
      </c>
      <c r="AG120" s="25">
        <v>1580</v>
      </c>
      <c r="AH120" s="58">
        <f t="shared" si="765"/>
        <v>0.94610778443113774</v>
      </c>
      <c r="AI120" s="25">
        <v>2125</v>
      </c>
      <c r="AJ120" s="58">
        <f t="shared" ref="AJ120" si="1302">AI120/$AB120</f>
        <v>1.2724550898203593</v>
      </c>
      <c r="AK120" s="25"/>
      <c r="AL120" s="58">
        <f t="shared" si="1266"/>
        <v>0</v>
      </c>
      <c r="AM120" s="25">
        <v>1630</v>
      </c>
      <c r="AN120" s="58">
        <f t="shared" si="1267"/>
        <v>0.9760479041916168</v>
      </c>
      <c r="AO120" s="25"/>
      <c r="AP120" s="58">
        <f t="shared" si="1268"/>
        <v>0</v>
      </c>
      <c r="AQ120" s="25"/>
      <c r="AR120" s="58">
        <f t="shared" si="1269"/>
        <v>0</v>
      </c>
      <c r="AS120" s="25"/>
      <c r="AT120" s="58">
        <f t="shared" si="571"/>
        <v>0</v>
      </c>
      <c r="AU120" s="25"/>
      <c r="AV120" s="58">
        <f t="shared" si="572"/>
        <v>0</v>
      </c>
      <c r="AW120" s="25"/>
      <c r="AX120" s="58">
        <f t="shared" si="573"/>
        <v>0</v>
      </c>
      <c r="AY120" s="25"/>
      <c r="AZ120" s="58">
        <f t="shared" si="574"/>
        <v>0</v>
      </c>
      <c r="BA120" s="25">
        <f t="shared" si="794"/>
        <v>5335</v>
      </c>
      <c r="BB120" s="58">
        <f t="shared" si="795"/>
        <v>0.26621756487025949</v>
      </c>
      <c r="BC120" s="25">
        <f t="shared" si="778"/>
        <v>592.77777777777783</v>
      </c>
      <c r="BD120" s="25">
        <f>AB120*BA1</f>
        <v>1736.8</v>
      </c>
      <c r="BE120" s="25">
        <f t="shared" si="779"/>
        <v>20841.599999999999</v>
      </c>
      <c r="BF120" s="129">
        <v>20841.599999999999</v>
      </c>
      <c r="BG120" s="129">
        <f t="shared" si="753"/>
        <v>1736.8</v>
      </c>
      <c r="BH120" s="25"/>
      <c r="BI120" s="58">
        <f t="shared" si="754"/>
        <v>0</v>
      </c>
      <c r="BJ120" s="25"/>
      <c r="BK120" s="58">
        <f t="shared" si="754"/>
        <v>0</v>
      </c>
      <c r="BL120" s="25"/>
      <c r="BM120" s="58">
        <f t="shared" ref="BM120" si="1303">BL120/$BG120</f>
        <v>0</v>
      </c>
      <c r="BN120" s="25">
        <v>130</v>
      </c>
      <c r="BO120" s="58">
        <f t="shared" ref="BO120" si="1304">BN120/$BG120</f>
        <v>7.4850299401197612E-2</v>
      </c>
      <c r="BP120" s="25"/>
      <c r="BQ120" s="58">
        <f t="shared" ref="BQ120" si="1305">BP120/$BG120</f>
        <v>0</v>
      </c>
      <c r="BR120" s="25"/>
      <c r="BS120" s="58">
        <f t="shared" ref="BS120" si="1306">BR120/$BG120</f>
        <v>0</v>
      </c>
      <c r="BT120" s="25">
        <v>205</v>
      </c>
      <c r="BU120" s="58">
        <f t="shared" ref="BU120" si="1307">BT120/$BG120</f>
        <v>0.11803316444035007</v>
      </c>
      <c r="BV120" s="25"/>
      <c r="BW120" s="58">
        <f t="shared" ref="BW120" si="1308">BV120/$BG120</f>
        <v>0</v>
      </c>
      <c r="BX120" s="25"/>
      <c r="BY120" s="58">
        <f t="shared" ref="BY120" si="1309">BX120/$BG120</f>
        <v>0</v>
      </c>
      <c r="BZ120" s="25"/>
      <c r="CA120" s="58">
        <f t="shared" ref="CA120" si="1310">BZ120/$BG120</f>
        <v>0</v>
      </c>
      <c r="CB120" s="25"/>
      <c r="CC120" s="58">
        <f t="shared" ref="CC120" si="1311">CB120/$BG120</f>
        <v>0</v>
      </c>
      <c r="CD120" s="25"/>
      <c r="CE120" s="58">
        <f t="shared" ref="CE120" si="1312">CD120/$BG120</f>
        <v>0</v>
      </c>
      <c r="CF120" s="25">
        <f t="shared" si="1264"/>
        <v>335</v>
      </c>
      <c r="CG120" s="58">
        <f t="shared" si="834"/>
        <v>1.6073621986795641E-2</v>
      </c>
    </row>
    <row r="121" spans="1:85" ht="15.75" x14ac:dyDescent="0.25">
      <c r="A121" s="47" t="s">
        <v>86</v>
      </c>
      <c r="B121" s="25">
        <v>26078.098800000003</v>
      </c>
      <c r="C121" s="26">
        <v>5993.87</v>
      </c>
      <c r="D121" s="26">
        <v>7991.8266666666659</v>
      </c>
      <c r="E121" s="25">
        <v>8311.4997333333322</v>
      </c>
      <c r="F121" s="25">
        <f t="shared" si="1184"/>
        <v>692.62497777777764</v>
      </c>
      <c r="G121" s="25">
        <f>1483.27+493.28</f>
        <v>1976.55</v>
      </c>
      <c r="H121" s="58">
        <f t="shared" si="806"/>
        <v>2.8537088083966817</v>
      </c>
      <c r="I121" s="25">
        <f>1244.41+1483.27+493.28</f>
        <v>3220.96</v>
      </c>
      <c r="J121" s="58">
        <f t="shared" si="807"/>
        <v>4.6503665090654804</v>
      </c>
      <c r="K121" s="25">
        <f>2047.64+682.15</f>
        <v>2729.79</v>
      </c>
      <c r="L121" s="58">
        <f t="shared" si="808"/>
        <v>3.9412237322977801</v>
      </c>
      <c r="M121" s="25">
        <f>4408.89-3429.04-1152.32</f>
        <v>-172.46999999999957</v>
      </c>
      <c r="N121" s="58">
        <f t="shared" si="809"/>
        <v>-0.24900921210400673</v>
      </c>
      <c r="O121" s="64">
        <f>1082.5+358.95</f>
        <v>1441.45</v>
      </c>
      <c r="P121" s="58">
        <f t="shared" si="790"/>
        <v>2.0811406551128973</v>
      </c>
      <c r="Q121" s="64">
        <f>1345.3+445</f>
        <v>1790.3</v>
      </c>
      <c r="R121" s="58">
        <f>Q121/$F121</f>
        <v>2.5848042699008773</v>
      </c>
      <c r="S121" s="64">
        <f>6176.35-6341.17-2129.32</f>
        <v>-2294.14</v>
      </c>
      <c r="T121" s="58">
        <f t="shared" si="512"/>
        <v>-3.3122397742000773</v>
      </c>
      <c r="U121" s="64">
        <f>1168.9+54.75+88.48</f>
        <v>1312.13</v>
      </c>
      <c r="V121" s="58">
        <f t="shared" si="513"/>
        <v>1.8944306689744952</v>
      </c>
      <c r="W121" s="64">
        <f>5688.14+1905.52</f>
        <v>7593.66</v>
      </c>
      <c r="X121" s="58">
        <f t="shared" si="881"/>
        <v>10.963595370706305</v>
      </c>
      <c r="Y121" s="25">
        <f t="shared" si="791"/>
        <v>17598.23</v>
      </c>
      <c r="Z121" s="58">
        <f t="shared" si="810"/>
        <v>2.1173350856792026</v>
      </c>
      <c r="AA121" s="25">
        <f t="shared" si="792"/>
        <v>1955.3588888888889</v>
      </c>
      <c r="AB121" s="25">
        <v>1966.29</v>
      </c>
      <c r="AD121" s="69">
        <f t="shared" si="847"/>
        <v>1.0055903349370932</v>
      </c>
      <c r="AG121" s="25">
        <f>3277.86</f>
        <v>3277.86</v>
      </c>
      <c r="AH121" s="58">
        <f t="shared" si="765"/>
        <v>1.6670277527729889</v>
      </c>
      <c r="AI121" s="25"/>
      <c r="AJ121" s="58">
        <f t="shared" ref="AJ121" si="1313">AI121/$AB121</f>
        <v>0</v>
      </c>
      <c r="AK121" s="25"/>
      <c r="AL121" s="58">
        <f t="shared" si="1266"/>
        <v>0</v>
      </c>
      <c r="AM121" s="25">
        <v>4882.68</v>
      </c>
      <c r="AN121" s="58">
        <f t="shared" si="1267"/>
        <v>2.4831942388966026</v>
      </c>
      <c r="AO121" s="25">
        <v>13427.41</v>
      </c>
      <c r="AP121" s="58">
        <f t="shared" si="1268"/>
        <v>6.8288044998448854</v>
      </c>
      <c r="AQ121" s="25"/>
      <c r="AR121" s="58">
        <f t="shared" si="1269"/>
        <v>0</v>
      </c>
      <c r="AS121" s="25"/>
      <c r="AT121" s="58">
        <f t="shared" ref="AT121:AT156" si="1314">AS121/$AB121</f>
        <v>0</v>
      </c>
      <c r="AU121" s="25"/>
      <c r="AV121" s="58">
        <f t="shared" ref="AV121:AV156" si="1315">AU121/$AB121</f>
        <v>0</v>
      </c>
      <c r="AW121" s="25"/>
      <c r="AX121" s="58">
        <f t="shared" ref="AX121:AX156" si="1316">AW121/$AB121</f>
        <v>0</v>
      </c>
      <c r="AY121" s="25"/>
      <c r="AZ121" s="58">
        <f t="shared" ref="AZ121:AZ156" si="1317">AY121/$AB121</f>
        <v>0</v>
      </c>
      <c r="BA121" s="25">
        <f t="shared" si="794"/>
        <v>21587.95</v>
      </c>
      <c r="BB121" s="58">
        <f t="shared" si="795"/>
        <v>0.91491887429287311</v>
      </c>
      <c r="BC121" s="25">
        <f t="shared" si="778"/>
        <v>2398.661111111111</v>
      </c>
      <c r="BD121" s="25">
        <f>BC121*BA1</f>
        <v>2494.6075555555558</v>
      </c>
      <c r="BE121" s="25">
        <f t="shared" si="779"/>
        <v>29935.290666666668</v>
      </c>
      <c r="BF121" s="129">
        <v>29935.290666666668</v>
      </c>
      <c r="BG121" s="129">
        <f t="shared" si="753"/>
        <v>2494.6075555555558</v>
      </c>
      <c r="BH121" s="25"/>
      <c r="BI121" s="58">
        <f t="shared" si="754"/>
        <v>0</v>
      </c>
      <c r="BJ121" s="25"/>
      <c r="BK121" s="58">
        <f t="shared" si="754"/>
        <v>0</v>
      </c>
      <c r="BL121" s="25"/>
      <c r="BM121" s="58">
        <f t="shared" ref="BM121" si="1318">BL121/$BG121</f>
        <v>0</v>
      </c>
      <c r="BN121" s="25"/>
      <c r="BO121" s="58">
        <f t="shared" ref="BO121" si="1319">BN121/$BG121</f>
        <v>0</v>
      </c>
      <c r="BP121" s="25"/>
      <c r="BQ121" s="58">
        <f t="shared" ref="BQ121" si="1320">BP121/$BG121</f>
        <v>0</v>
      </c>
      <c r="BR121" s="25"/>
      <c r="BS121" s="58">
        <f t="shared" ref="BS121" si="1321">BR121/$BG121</f>
        <v>0</v>
      </c>
      <c r="BT121" s="25">
        <v>6362.96</v>
      </c>
      <c r="BU121" s="58">
        <f t="shared" ref="BU121" si="1322">BT121/$BG121</f>
        <v>2.5506857725294396</v>
      </c>
      <c r="BV121" s="25"/>
      <c r="BW121" s="58">
        <f t="shared" ref="BW121" si="1323">BV121/$BG121</f>
        <v>0</v>
      </c>
      <c r="BX121" s="25">
        <v>355.07</v>
      </c>
      <c r="BY121" s="58">
        <f t="shared" ref="BY121" si="1324">BX121/$BG121</f>
        <v>0.14233501346103514</v>
      </c>
      <c r="BZ121" s="25">
        <v>3195.61</v>
      </c>
      <c r="CA121" s="58">
        <f t="shared" ref="CA121" si="1325">BZ121/$BG121</f>
        <v>1.2810071038561932</v>
      </c>
      <c r="CB121" s="25"/>
      <c r="CC121" s="58">
        <f t="shared" ref="CC121" si="1326">CB121/$BG121</f>
        <v>0</v>
      </c>
      <c r="CD121" s="25">
        <v>1235.1600000000001</v>
      </c>
      <c r="CE121" s="58">
        <f t="shared" ref="CE121" si="1327">CD121/$BG121</f>
        <v>0.49513198869668568</v>
      </c>
      <c r="CF121" s="25">
        <f t="shared" si="1264"/>
        <v>11148.8</v>
      </c>
      <c r="CG121" s="58">
        <f t="shared" si="834"/>
        <v>0.37242998987861281</v>
      </c>
    </row>
    <row r="122" spans="1:85" ht="15.75" x14ac:dyDescent="0.25">
      <c r="A122" s="47" t="s">
        <v>39</v>
      </c>
      <c r="B122" s="25">
        <v>18000</v>
      </c>
      <c r="C122" s="26"/>
      <c r="D122" s="26">
        <v>18000</v>
      </c>
      <c r="E122" s="25">
        <v>18000</v>
      </c>
      <c r="F122" s="25">
        <f t="shared" si="1184"/>
        <v>1500</v>
      </c>
      <c r="G122" s="25"/>
      <c r="H122" s="58">
        <f t="shared" si="806"/>
        <v>0</v>
      </c>
      <c r="I122" s="25"/>
      <c r="J122" s="58">
        <f t="shared" si="807"/>
        <v>0</v>
      </c>
      <c r="K122" s="25"/>
      <c r="L122" s="58">
        <f t="shared" si="808"/>
        <v>0</v>
      </c>
      <c r="M122" s="25"/>
      <c r="N122" s="58">
        <f t="shared" si="809"/>
        <v>0</v>
      </c>
      <c r="O122" s="64"/>
      <c r="P122" s="58">
        <f t="shared" si="790"/>
        <v>0</v>
      </c>
      <c r="Q122" s="64"/>
      <c r="R122" s="58">
        <f t="shared" si="511"/>
        <v>0</v>
      </c>
      <c r="S122" s="64"/>
      <c r="T122" s="58">
        <f t="shared" si="512"/>
        <v>0</v>
      </c>
      <c r="U122" s="64"/>
      <c r="V122" s="58">
        <f t="shared" si="513"/>
        <v>0</v>
      </c>
      <c r="W122" s="64"/>
      <c r="X122" s="58">
        <f t="shared" si="881"/>
        <v>0</v>
      </c>
      <c r="Y122" s="25">
        <f t="shared" si="791"/>
        <v>0</v>
      </c>
      <c r="Z122" s="58">
        <f t="shared" si="810"/>
        <v>0</v>
      </c>
      <c r="AA122" s="25">
        <f t="shared" si="792"/>
        <v>0</v>
      </c>
      <c r="AB122" s="25">
        <v>1500</v>
      </c>
      <c r="AD122" s="69"/>
      <c r="AG122" s="25"/>
      <c r="AH122" s="58">
        <f t="shared" si="765"/>
        <v>0</v>
      </c>
      <c r="AI122" s="25"/>
      <c r="AJ122" s="58">
        <f t="shared" ref="AJ122" si="1328">AI122/$AB122</f>
        <v>0</v>
      </c>
      <c r="AK122" s="25"/>
      <c r="AL122" s="58">
        <f t="shared" si="1266"/>
        <v>0</v>
      </c>
      <c r="AM122" s="25"/>
      <c r="AN122" s="58">
        <f t="shared" si="1267"/>
        <v>0</v>
      </c>
      <c r="AO122" s="25"/>
      <c r="AP122" s="58">
        <f t="shared" si="1268"/>
        <v>0</v>
      </c>
      <c r="AQ122" s="25"/>
      <c r="AR122" s="58">
        <f t="shared" si="1269"/>
        <v>0</v>
      </c>
      <c r="AS122" s="25"/>
      <c r="AT122" s="58">
        <f t="shared" si="1314"/>
        <v>0</v>
      </c>
      <c r="AU122" s="25"/>
      <c r="AV122" s="58">
        <f t="shared" si="1315"/>
        <v>0</v>
      </c>
      <c r="AW122" s="25"/>
      <c r="AX122" s="58">
        <f t="shared" si="1316"/>
        <v>0</v>
      </c>
      <c r="AY122" s="25"/>
      <c r="AZ122" s="58">
        <f t="shared" si="1317"/>
        <v>0</v>
      </c>
      <c r="BA122" s="25">
        <f t="shared" si="794"/>
        <v>0</v>
      </c>
      <c r="BB122" s="58">
        <f t="shared" si="795"/>
        <v>0</v>
      </c>
      <c r="BC122" s="25">
        <f t="shared" si="778"/>
        <v>0</v>
      </c>
      <c r="BD122" s="25">
        <f>AB122*BA1</f>
        <v>1560</v>
      </c>
      <c r="BE122" s="25">
        <f t="shared" si="779"/>
        <v>18720</v>
      </c>
      <c r="BF122" s="129">
        <v>16793.990000000002</v>
      </c>
      <c r="BG122" s="129">
        <f t="shared" si="753"/>
        <v>1399.4991666666667</v>
      </c>
      <c r="BH122" s="25"/>
      <c r="BI122" s="58">
        <f t="shared" si="754"/>
        <v>0</v>
      </c>
      <c r="BJ122" s="25"/>
      <c r="BK122" s="58">
        <f t="shared" si="754"/>
        <v>0</v>
      </c>
      <c r="BL122" s="25"/>
      <c r="BM122" s="58">
        <f t="shared" ref="BM122" si="1329">BL122/$BG122</f>
        <v>0</v>
      </c>
      <c r="BN122" s="25"/>
      <c r="BO122" s="58">
        <f t="shared" ref="BO122" si="1330">BN122/$BG122</f>
        <v>0</v>
      </c>
      <c r="BP122" s="25"/>
      <c r="BQ122" s="58">
        <f t="shared" ref="BQ122" si="1331">BP122/$BG122</f>
        <v>0</v>
      </c>
      <c r="BR122" s="25"/>
      <c r="BS122" s="58">
        <f t="shared" ref="BS122" si="1332">BR122/$BG122</f>
        <v>0</v>
      </c>
      <c r="BT122" s="25"/>
      <c r="BU122" s="58">
        <f t="shared" ref="BU122" si="1333">BT122/$BG122</f>
        <v>0</v>
      </c>
      <c r="BV122" s="25"/>
      <c r="BW122" s="58">
        <f t="shared" ref="BW122" si="1334">BV122/$BG122</f>
        <v>0</v>
      </c>
      <c r="BX122" s="25"/>
      <c r="BY122" s="58">
        <f t="shared" ref="BY122" si="1335">BX122/$BG122</f>
        <v>0</v>
      </c>
      <c r="BZ122" s="25"/>
      <c r="CA122" s="58">
        <f t="shared" ref="CA122" si="1336">BZ122/$BG122</f>
        <v>0</v>
      </c>
      <c r="CB122" s="25"/>
      <c r="CC122" s="58">
        <f t="shared" ref="CC122" si="1337">CB122/$BG122</f>
        <v>0</v>
      </c>
      <c r="CD122" s="25"/>
      <c r="CE122" s="58">
        <f t="shared" ref="CE122" si="1338">CD122/$BG122</f>
        <v>0</v>
      </c>
      <c r="CF122" s="25">
        <f t="shared" si="1264"/>
        <v>0</v>
      </c>
      <c r="CG122" s="58">
        <f t="shared" si="834"/>
        <v>0</v>
      </c>
    </row>
    <row r="123" spans="1:85" ht="30" x14ac:dyDescent="0.25">
      <c r="A123" s="47" t="s">
        <v>87</v>
      </c>
      <c r="B123" s="25">
        <v>36833.797299999998</v>
      </c>
      <c r="C123" s="26">
        <v>30891.24</v>
      </c>
      <c r="D123" s="50">
        <v>41188.32</v>
      </c>
      <c r="E123" s="25">
        <v>43247.736000000004</v>
      </c>
      <c r="F123" s="25">
        <f t="shared" si="1184"/>
        <v>3603.9780000000005</v>
      </c>
      <c r="G123" s="25">
        <f>540.22-350.58-12+757.82-12+606.26+167.87</f>
        <v>1697.5900000000001</v>
      </c>
      <c r="H123" s="58">
        <f t="shared" si="806"/>
        <v>0.47103228710053169</v>
      </c>
      <c r="I123" s="25">
        <f>708.18-168.66+963.5-12+649.56-12+606.26+140.74</f>
        <v>2875.58</v>
      </c>
      <c r="J123" s="58">
        <f t="shared" si="807"/>
        <v>0.79789055316097923</v>
      </c>
      <c r="K123" s="25">
        <f>623.88-168.66-8+652.84-10+606.26+140.74</f>
        <v>1837.06</v>
      </c>
      <c r="L123" s="58">
        <f t="shared" si="808"/>
        <v>0.50973119147786128</v>
      </c>
      <c r="M123" s="25">
        <f>643.1-168.66+3543-8+543-10+606.26+139.17+1903.86</f>
        <v>7191.7300000000005</v>
      </c>
      <c r="N123" s="58">
        <f t="shared" si="809"/>
        <v>1.9954977527609767</v>
      </c>
      <c r="O123" s="64">
        <f>598.12-168.66-8+543-8+606.26+139.67</f>
        <v>1702.39</v>
      </c>
      <c r="P123" s="58">
        <f t="shared" si="790"/>
        <v>0.47236414872676802</v>
      </c>
      <c r="Q123" s="64">
        <f>200.2-170.52+2148-8+1877.64-8+606.26+139.67</f>
        <v>4785.25</v>
      </c>
      <c r="R123" s="58">
        <f>Q123/$F123</f>
        <v>1.3277689264473866</v>
      </c>
      <c r="S123" s="64">
        <f>595.9-170.52+329-8+634-8+606.26+139.67</f>
        <v>2118.31</v>
      </c>
      <c r="T123" s="58">
        <f t="shared" ref="T123:T160" si="1339">S123/$F123</f>
        <v>0.58776995864014703</v>
      </c>
      <c r="U123" s="64">
        <f>423.65-209.64+1894-113+325.8-8+606.26+139.67</f>
        <v>3058.7400000000007</v>
      </c>
      <c r="V123" s="58">
        <f t="shared" ref="V123:V160" si="1340">U123/$F123</f>
        <v>0.84871217304878122</v>
      </c>
      <c r="W123" s="64">
        <f>491.54-137.64+2445.5-10+543-10+606.26+139.67</f>
        <v>4068.33</v>
      </c>
      <c r="X123" s="58">
        <f t="shared" si="881"/>
        <v>1.1288442937221035</v>
      </c>
      <c r="Y123" s="25">
        <f t="shared" si="791"/>
        <v>29334.980000000003</v>
      </c>
      <c r="Z123" s="58">
        <f t="shared" si="810"/>
        <v>0.67830094042379463</v>
      </c>
      <c r="AA123" s="25">
        <f t="shared" si="792"/>
        <v>3259.4422222222224</v>
      </c>
      <c r="AB123" s="71">
        <f>AA123*$AC$7</f>
        <v>3389.8199111111117</v>
      </c>
      <c r="AD123" s="69">
        <f t="shared" si="847"/>
        <v>1.04</v>
      </c>
      <c r="AG123" s="25">
        <f>556.11+754.5-140.94+568-10+144.47+1057.5-10</f>
        <v>2919.6400000000003</v>
      </c>
      <c r="AH123" s="58">
        <f t="shared" si="765"/>
        <v>0.86129649260423502</v>
      </c>
      <c r="AI123" s="25">
        <f>602.33+864.71-140.94+883-10+1104.5-10</f>
        <v>3293.6</v>
      </c>
      <c r="AJ123" s="58">
        <f t="shared" ref="AJ123" si="1341">AI123/$AB123</f>
        <v>0.97161503748452149</v>
      </c>
      <c r="AK123" s="25"/>
      <c r="AL123" s="58">
        <f t="shared" si="1266"/>
        <v>0</v>
      </c>
      <c r="AM123" s="25">
        <f>602.33+578.37-142.38+572.59-10+144.46+1791.5-10</f>
        <v>3526.8700000000003</v>
      </c>
      <c r="AN123" s="58">
        <f t="shared" si="1267"/>
        <v>1.0404299026150821</v>
      </c>
      <c r="AO123" s="25">
        <f>602.33-42.71+569.85-10+144.47-10</f>
        <v>1253.94</v>
      </c>
      <c r="AP123" s="58">
        <f t="shared" si="1268"/>
        <v>0.36991345643166773</v>
      </c>
      <c r="AQ123" s="25">
        <f>602.33+166.7+569.85+144.47-10+329</f>
        <v>1802.3500000000001</v>
      </c>
      <c r="AR123" s="58">
        <f t="shared" si="1269"/>
        <v>0.53169491219644993</v>
      </c>
      <c r="AS123" s="25">
        <f>602.33+307.07-142.38+569.85-10+144.47+329</f>
        <v>1800.3400000000001</v>
      </c>
      <c r="AT123" s="58">
        <f t="shared" si="1314"/>
        <v>0.5311019603427507</v>
      </c>
      <c r="AU123" s="25">
        <f>602.33+946.85-142.38+569.85-4+144.47+1715.5</f>
        <v>3832.62</v>
      </c>
      <c r="AV123" s="58">
        <f t="shared" si="1315"/>
        <v>1.1306264345894845</v>
      </c>
      <c r="AW123" s="25">
        <f>602.33+822.37-142.38+569.85-10+131.3+1292.5-10</f>
        <v>3255.9700000000003</v>
      </c>
      <c r="AX123" s="58">
        <f t="shared" si="1316"/>
        <v>0.96051415278068908</v>
      </c>
      <c r="AY123" s="25">
        <f>602.33+822.37-142.38+569.85-10+131.3+1598-10</f>
        <v>3561.4700000000003</v>
      </c>
      <c r="AZ123" s="58">
        <f t="shared" si="1317"/>
        <v>1.0506369345245321</v>
      </c>
      <c r="BA123" s="25">
        <f t="shared" si="794"/>
        <v>25246.800000000003</v>
      </c>
      <c r="BB123" s="58">
        <f t="shared" si="795"/>
        <v>0.62065244029745115</v>
      </c>
      <c r="BC123" s="25">
        <f t="shared" si="778"/>
        <v>2805.2000000000003</v>
      </c>
      <c r="BD123" s="25">
        <f>AB123*BA1</f>
        <v>3525.4127075555562</v>
      </c>
      <c r="BE123" s="25">
        <f t="shared" si="779"/>
        <v>42304.952490666677</v>
      </c>
      <c r="BF123" s="129">
        <v>42304.952490666677</v>
      </c>
      <c r="BG123" s="129">
        <f t="shared" si="753"/>
        <v>3525.4127075555566</v>
      </c>
      <c r="BH123" s="25">
        <f>536.7+756.88-147.24+589.45-4+161.7+1292.5-4</f>
        <v>3181.99</v>
      </c>
      <c r="BI123" s="58">
        <f t="shared" si="754"/>
        <v>0.90258652360912417</v>
      </c>
      <c r="BJ123" s="25">
        <f>536.7+248.16-147.24+732.97-8+161.7+1668.5-8</f>
        <v>3184.79</v>
      </c>
      <c r="BK123" s="58">
        <f t="shared" si="754"/>
        <v>0.90338075686130459</v>
      </c>
      <c r="BL123" s="25">
        <f>536.7+820.23-147.24+591.8-10+169.8+1057.5-10</f>
        <v>3008.79</v>
      </c>
      <c r="BM123" s="58">
        <f t="shared" ref="BM123" si="1342">BL123/$BG123</f>
        <v>0.85345752386710738</v>
      </c>
      <c r="BN123" s="25">
        <f>789.44-147.24+594.23-10+158.85+1363-10</f>
        <v>2738.2799999999997</v>
      </c>
      <c r="BO123" s="58">
        <f t="shared" ref="BO123" si="1343">BN123/$BG123</f>
        <v>0.7767260820644919</v>
      </c>
      <c r="BP123" s="25">
        <f>536.7+820.46-149.94+591.8-10+161.7+1339.5-10</f>
        <v>3280.2200000000003</v>
      </c>
      <c r="BQ123" s="58">
        <f t="shared" ref="BQ123" si="1344">BP123/$BG123</f>
        <v>0.93044992802401072</v>
      </c>
      <c r="BR123" s="25">
        <f>536.7+819.78-149.94+591.8-10+161.72+1081-10</f>
        <v>3021.06</v>
      </c>
      <c r="BS123" s="58">
        <f t="shared" ref="BS123" si="1345">BR123/$BG123</f>
        <v>0.85693796744005502</v>
      </c>
      <c r="BT123" s="25">
        <f>536.7+820.86-149.94+591.8-10+177.15+1339.5-10</f>
        <v>3296.0699999999997</v>
      </c>
      <c r="BU123" s="58">
        <f t="shared" ref="BU123" si="1346">BT123/$BG123</f>
        <v>0.93494585554081755</v>
      </c>
      <c r="BV123" s="25">
        <f>536.7+820.86-149.94+591.8-10+467.4+1339.5-10</f>
        <v>3586.3199999999997</v>
      </c>
      <c r="BW123" s="58">
        <f t="shared" ref="BW123" si="1347">BV123/$BG123</f>
        <v>1.0172766417713048</v>
      </c>
      <c r="BX123" s="25">
        <f>536.7+795.9-149.94+593.2-10+441.68+2635.45-10</f>
        <v>4832.99</v>
      </c>
      <c r="BY123" s="58">
        <f t="shared" ref="BY123" si="1348">BX123/$BG123</f>
        <v>1.3709004876626454</v>
      </c>
      <c r="BZ123" s="25">
        <v>2412.1099999999997</v>
      </c>
      <c r="CA123" s="58">
        <f t="shared" ref="CA123" si="1349">BZ123/$BG123</f>
        <v>0.6842064178274615</v>
      </c>
      <c r="CB123" s="25">
        <f>536.7+820.39-149.94+1136.4-10+441.68+1316-10</f>
        <v>4081.23</v>
      </c>
      <c r="CC123" s="58">
        <f t="shared" ref="CC123" si="1350">CB123/$BG123</f>
        <v>1.1576602056415219</v>
      </c>
      <c r="CD123" s="25">
        <f>586.83+750.48-159.84+786.75-10+441.68+1118-10</f>
        <v>3503.9</v>
      </c>
      <c r="CE123" s="58">
        <f t="shared" ref="CE123" si="1351">CD123/$BG123</f>
        <v>0.9938978186839087</v>
      </c>
      <c r="CF123" s="25">
        <f t="shared" si="1264"/>
        <v>40127.750000000007</v>
      </c>
      <c r="CG123" s="58">
        <f t="shared" si="834"/>
        <v>0.94853551741614639</v>
      </c>
    </row>
    <row r="124" spans="1:85" ht="30" x14ac:dyDescent="0.25">
      <c r="A124" s="47" t="s">
        <v>88</v>
      </c>
      <c r="B124" s="25">
        <v>15240</v>
      </c>
      <c r="C124" s="26">
        <v>6711.65</v>
      </c>
      <c r="D124" s="50">
        <v>8948.866666666665</v>
      </c>
      <c r="E124" s="25">
        <v>15240</v>
      </c>
      <c r="F124" s="25">
        <f t="shared" si="1184"/>
        <v>1270</v>
      </c>
      <c r="G124" s="25">
        <v>1748.3</v>
      </c>
      <c r="H124" s="58">
        <f t="shared" si="806"/>
        <v>1.3766141732283463</v>
      </c>
      <c r="I124" s="25">
        <f>4904.8-1780</f>
        <v>3124.8</v>
      </c>
      <c r="J124" s="58">
        <f t="shared" si="807"/>
        <v>2.4604724409448822</v>
      </c>
      <c r="K124" s="25">
        <v>645.47</v>
      </c>
      <c r="L124" s="58">
        <f t="shared" si="808"/>
        <v>0.50824409448818897</v>
      </c>
      <c r="M124" s="25">
        <f>4400+234</f>
        <v>4634</v>
      </c>
      <c r="N124" s="58">
        <f t="shared" si="809"/>
        <v>3.6488188976377951</v>
      </c>
      <c r="O124" s="64">
        <v>2708.5</v>
      </c>
      <c r="P124" s="58">
        <f t="shared" si="790"/>
        <v>2.1326771653543308</v>
      </c>
      <c r="Q124" s="64">
        <v>2499.81</v>
      </c>
      <c r="R124" s="58">
        <f t="shared" ref="R124:R160" si="1352">Q124/$F124</f>
        <v>1.9683543307086613</v>
      </c>
      <c r="S124" s="64">
        <v>2732.39</v>
      </c>
      <c r="T124" s="58">
        <f t="shared" si="1339"/>
        <v>2.1514881889763777</v>
      </c>
      <c r="U124" s="64">
        <f>5158.89-1053-248.54-1000</f>
        <v>2857.3500000000004</v>
      </c>
      <c r="V124" s="58">
        <f t="shared" si="1340"/>
        <v>2.2498818897637798</v>
      </c>
      <c r="W124" s="64">
        <f>1312.5-1150</f>
        <v>162.5</v>
      </c>
      <c r="X124" s="58">
        <f t="shared" si="881"/>
        <v>0.12795275590551181</v>
      </c>
      <c r="Y124" s="25">
        <f t="shared" si="791"/>
        <v>21113.120000000003</v>
      </c>
      <c r="Z124" s="58">
        <f t="shared" si="810"/>
        <v>1.3853753280839898</v>
      </c>
      <c r="AA124" s="25">
        <f t="shared" si="792"/>
        <v>2345.9022222222225</v>
      </c>
      <c r="AB124" s="71">
        <f t="shared" ref="AB124:AB132" si="1353">AA124*$AC$7</f>
        <v>2439.7383111111117</v>
      </c>
      <c r="AD124" s="69">
        <f t="shared" si="847"/>
        <v>1.04</v>
      </c>
      <c r="AG124" s="25">
        <v>118</v>
      </c>
      <c r="AH124" s="58">
        <f t="shared" si="765"/>
        <v>4.8365842952337028E-2</v>
      </c>
      <c r="AI124" s="25">
        <v>1487.66</v>
      </c>
      <c r="AJ124" s="58">
        <f t="shared" ref="AJ124" si="1354">AI124/$AB124</f>
        <v>0.60976211802096358</v>
      </c>
      <c r="AK124" s="25"/>
      <c r="AL124" s="58">
        <f t="shared" si="1266"/>
        <v>0</v>
      </c>
      <c r="AM124" s="25">
        <v>305.88</v>
      </c>
      <c r="AN124" s="58">
        <f t="shared" si="1267"/>
        <v>0.12537410205305805</v>
      </c>
      <c r="AO124" s="25"/>
      <c r="AP124" s="58">
        <f t="shared" si="1268"/>
        <v>0</v>
      </c>
      <c r="AQ124" s="25"/>
      <c r="AR124" s="58">
        <f t="shared" si="1269"/>
        <v>0</v>
      </c>
      <c r="AS124" s="25"/>
      <c r="AT124" s="58">
        <f t="shared" si="1314"/>
        <v>0</v>
      </c>
      <c r="AU124" s="25"/>
      <c r="AV124" s="58">
        <f t="shared" si="1315"/>
        <v>0</v>
      </c>
      <c r="AW124" s="25"/>
      <c r="AX124" s="58">
        <f t="shared" si="1316"/>
        <v>0</v>
      </c>
      <c r="AY124" s="25">
        <v>1568</v>
      </c>
      <c r="AZ124" s="58">
        <f t="shared" si="1317"/>
        <v>0.64269187923105475</v>
      </c>
      <c r="BA124" s="25">
        <f t="shared" si="794"/>
        <v>3479.54</v>
      </c>
      <c r="BB124" s="58">
        <f t="shared" si="795"/>
        <v>0.11884949518811778</v>
      </c>
      <c r="BC124" s="25">
        <f t="shared" si="778"/>
        <v>386.61555555555555</v>
      </c>
      <c r="BD124" s="25">
        <f>AB124*BA1</f>
        <v>2537.3278435555562</v>
      </c>
      <c r="BE124" s="25">
        <f t="shared" si="779"/>
        <v>30447.934122666673</v>
      </c>
      <c r="BF124" s="129">
        <v>30447.934122666673</v>
      </c>
      <c r="BG124" s="129">
        <f t="shared" si="753"/>
        <v>2537.3278435555562</v>
      </c>
      <c r="BH124" s="25"/>
      <c r="BI124" s="58">
        <f t="shared" si="754"/>
        <v>0</v>
      </c>
      <c r="BJ124" s="25"/>
      <c r="BK124" s="58">
        <f t="shared" si="754"/>
        <v>0</v>
      </c>
      <c r="BL124" s="25"/>
      <c r="BM124" s="58">
        <f t="shared" ref="BM124" si="1355">BL124/$BG124</f>
        <v>0</v>
      </c>
      <c r="BN124" s="25"/>
      <c r="BO124" s="58">
        <f t="shared" ref="BO124" si="1356">BN124/$BG124</f>
        <v>0</v>
      </c>
      <c r="BP124" s="25"/>
      <c r="BQ124" s="58">
        <f t="shared" ref="BQ124" si="1357">BP124/$BG124</f>
        <v>0</v>
      </c>
      <c r="BR124" s="25"/>
      <c r="BS124" s="58">
        <f t="shared" ref="BS124" si="1358">BR124/$BG124</f>
        <v>0</v>
      </c>
      <c r="BT124" s="25"/>
      <c r="BU124" s="58">
        <f t="shared" ref="BU124" si="1359">BT124/$BG124</f>
        <v>0</v>
      </c>
      <c r="BV124" s="25">
        <v>400</v>
      </c>
      <c r="BW124" s="58">
        <f t="shared" ref="BW124" si="1360">BV124/$BG124</f>
        <v>0.15764616346915589</v>
      </c>
      <c r="BX124" s="25">
        <v>377.78</v>
      </c>
      <c r="BY124" s="58">
        <f t="shared" ref="BY124" si="1361">BX124/$BG124</f>
        <v>0.14888891908844426</v>
      </c>
      <c r="BZ124" s="25"/>
      <c r="CA124" s="58">
        <f t="shared" ref="CA124" si="1362">BZ124/$BG124</f>
        <v>0</v>
      </c>
      <c r="CB124" s="25">
        <f>1391.04-64.8</f>
        <v>1326.24</v>
      </c>
      <c r="CC124" s="58">
        <f t="shared" ref="CC124" si="1363">CB124/$BG124</f>
        <v>0.52269161959833321</v>
      </c>
      <c r="CD124" s="25">
        <v>1180</v>
      </c>
      <c r="CE124" s="58">
        <f t="shared" ref="CE124" si="1364">CD124/$BG124</f>
        <v>0.46505618223400985</v>
      </c>
      <c r="CF124" s="25">
        <f t="shared" si="1264"/>
        <v>3284.02</v>
      </c>
      <c r="CG124" s="58">
        <f t="shared" si="834"/>
        <v>0.10785690703249527</v>
      </c>
    </row>
    <row r="125" spans="1:85" ht="30" x14ac:dyDescent="0.25">
      <c r="A125" s="47" t="s">
        <v>89</v>
      </c>
      <c r="B125" s="25">
        <v>15240</v>
      </c>
      <c r="C125" s="26">
        <v>7340</v>
      </c>
      <c r="D125" s="50">
        <v>9786.6666666666661</v>
      </c>
      <c r="E125" s="25">
        <v>15240</v>
      </c>
      <c r="F125" s="25">
        <f t="shared" si="1184"/>
        <v>1270</v>
      </c>
      <c r="G125" s="25"/>
      <c r="H125" s="58">
        <f t="shared" si="806"/>
        <v>0</v>
      </c>
      <c r="I125" s="25"/>
      <c r="J125" s="58">
        <f t="shared" si="807"/>
        <v>0</v>
      </c>
      <c r="K125" s="25"/>
      <c r="L125" s="58">
        <f t="shared" si="808"/>
        <v>0</v>
      </c>
      <c r="M125" s="25"/>
      <c r="N125" s="58">
        <f t="shared" si="809"/>
        <v>0</v>
      </c>
      <c r="O125" s="64"/>
      <c r="P125" s="58">
        <f t="shared" si="790"/>
        <v>0</v>
      </c>
      <c r="Q125" s="64"/>
      <c r="R125" s="58">
        <f t="shared" si="1352"/>
        <v>0</v>
      </c>
      <c r="S125" s="64"/>
      <c r="T125" s="58">
        <f t="shared" si="1339"/>
        <v>0</v>
      </c>
      <c r="U125" s="64"/>
      <c r="V125" s="58">
        <f t="shared" si="1340"/>
        <v>0</v>
      </c>
      <c r="W125" s="64"/>
      <c r="X125" s="58">
        <f t="shared" si="881"/>
        <v>0</v>
      </c>
      <c r="Y125" s="25">
        <f t="shared" si="791"/>
        <v>0</v>
      </c>
      <c r="Z125" s="58">
        <f t="shared" si="810"/>
        <v>0</v>
      </c>
      <c r="AA125" s="25">
        <f t="shared" si="792"/>
        <v>0</v>
      </c>
      <c r="AB125" s="71">
        <f t="shared" si="1353"/>
        <v>0</v>
      </c>
      <c r="AD125" s="69"/>
      <c r="AG125" s="25"/>
      <c r="AH125" s="58" t="e">
        <f t="shared" si="765"/>
        <v>#DIV/0!</v>
      </c>
      <c r="AI125" s="25"/>
      <c r="AJ125" s="58" t="e">
        <f t="shared" ref="AJ125" si="1365">AI125/$AB125</f>
        <v>#DIV/0!</v>
      </c>
      <c r="AK125" s="25"/>
      <c r="AL125" s="58" t="e">
        <f t="shared" si="1266"/>
        <v>#DIV/0!</v>
      </c>
      <c r="AM125" s="25"/>
      <c r="AN125" s="58" t="e">
        <f t="shared" si="1267"/>
        <v>#DIV/0!</v>
      </c>
      <c r="AO125" s="25"/>
      <c r="AP125" s="58" t="e">
        <f t="shared" si="1268"/>
        <v>#DIV/0!</v>
      </c>
      <c r="AQ125" s="25"/>
      <c r="AR125" s="58" t="e">
        <f t="shared" si="1269"/>
        <v>#DIV/0!</v>
      </c>
      <c r="AS125" s="25"/>
      <c r="AT125" s="58" t="e">
        <f t="shared" si="1314"/>
        <v>#DIV/0!</v>
      </c>
      <c r="AU125" s="25"/>
      <c r="AV125" s="58" t="e">
        <f t="shared" si="1315"/>
        <v>#DIV/0!</v>
      </c>
      <c r="AW125" s="25"/>
      <c r="AX125" s="58" t="e">
        <f t="shared" si="1316"/>
        <v>#DIV/0!</v>
      </c>
      <c r="AY125" s="25"/>
      <c r="AZ125" s="58" t="e">
        <f t="shared" si="1317"/>
        <v>#DIV/0!</v>
      </c>
      <c r="BA125" s="25">
        <f t="shared" si="794"/>
        <v>0</v>
      </c>
      <c r="BB125" s="58" t="e">
        <f t="shared" si="795"/>
        <v>#DIV/0!</v>
      </c>
      <c r="BC125" s="25">
        <f t="shared" si="778"/>
        <v>0</v>
      </c>
      <c r="BD125" s="25"/>
      <c r="BE125" s="25">
        <f t="shared" si="779"/>
        <v>0</v>
      </c>
      <c r="BF125" s="129">
        <v>10000</v>
      </c>
      <c r="BG125" s="129">
        <f t="shared" si="753"/>
        <v>833.33333333333337</v>
      </c>
      <c r="BH125" s="25"/>
      <c r="BI125" s="58">
        <f t="shared" si="754"/>
        <v>0</v>
      </c>
      <c r="BJ125" s="25"/>
      <c r="BK125" s="58">
        <f t="shared" si="754"/>
        <v>0</v>
      </c>
      <c r="BL125" s="25"/>
      <c r="BM125" s="58">
        <f t="shared" ref="BM125" si="1366">BL125/$BG125</f>
        <v>0</v>
      </c>
      <c r="BN125" s="25"/>
      <c r="BO125" s="58">
        <f t="shared" ref="BO125" si="1367">BN125/$BG125</f>
        <v>0</v>
      </c>
      <c r="BP125" s="25"/>
      <c r="BQ125" s="58">
        <f t="shared" ref="BQ125" si="1368">BP125/$BG125</f>
        <v>0</v>
      </c>
      <c r="BR125" s="25"/>
      <c r="BS125" s="58">
        <f t="shared" ref="BS125" si="1369">BR125/$BG125</f>
        <v>0</v>
      </c>
      <c r="BT125" s="25"/>
      <c r="BU125" s="58">
        <f t="shared" ref="BU125" si="1370">BT125/$BG125</f>
        <v>0</v>
      </c>
      <c r="BV125" s="25"/>
      <c r="BW125" s="58">
        <f t="shared" ref="BW125" si="1371">BV125/$BG125</f>
        <v>0</v>
      </c>
      <c r="BX125" s="25"/>
      <c r="BY125" s="58">
        <f t="shared" ref="BY125" si="1372">BX125/$BG125</f>
        <v>0</v>
      </c>
      <c r="BZ125" s="25"/>
      <c r="CA125" s="58">
        <f t="shared" ref="CA125" si="1373">BZ125/$BG125</f>
        <v>0</v>
      </c>
      <c r="CB125" s="25"/>
      <c r="CC125" s="58">
        <f t="shared" ref="CC125" si="1374">CB125/$BG125</f>
        <v>0</v>
      </c>
      <c r="CD125" s="25"/>
      <c r="CE125" s="58">
        <f t="shared" ref="CE125" si="1375">CD125/$BG125</f>
        <v>0</v>
      </c>
      <c r="CF125" s="25">
        <f t="shared" si="1264"/>
        <v>0</v>
      </c>
      <c r="CG125" s="58">
        <f t="shared" si="834"/>
        <v>0</v>
      </c>
    </row>
    <row r="126" spans="1:85" ht="15.75" x14ac:dyDescent="0.25">
      <c r="A126" s="44" t="s">
        <v>90</v>
      </c>
      <c r="B126" s="25">
        <v>24832.319325</v>
      </c>
      <c r="C126" s="26">
        <v>22798.19</v>
      </c>
      <c r="D126" s="50">
        <v>30397.586666666662</v>
      </c>
      <c r="E126" s="25">
        <v>31917.465999999997</v>
      </c>
      <c r="F126" s="25">
        <f t="shared" si="1184"/>
        <v>2659.7888333333331</v>
      </c>
      <c r="G126" s="25">
        <v>1814.79</v>
      </c>
      <c r="H126" s="58">
        <f t="shared" si="806"/>
        <v>0.68230604522301364</v>
      </c>
      <c r="I126" s="25">
        <v>1450.18</v>
      </c>
      <c r="J126" s="58">
        <f t="shared" si="807"/>
        <v>0.54522373424005532</v>
      </c>
      <c r="K126" s="25">
        <v>2038.03</v>
      </c>
      <c r="L126" s="58">
        <f t="shared" si="808"/>
        <v>0.7662375202342192</v>
      </c>
      <c r="M126" s="25">
        <v>2135.96</v>
      </c>
      <c r="N126" s="58">
        <f t="shared" si="809"/>
        <v>0.80305623259691117</v>
      </c>
      <c r="O126" s="64">
        <v>3036.25</v>
      </c>
      <c r="P126" s="58">
        <f t="shared" si="790"/>
        <v>1.141537990515914</v>
      </c>
      <c r="Q126" s="64">
        <v>1688.21</v>
      </c>
      <c r="R126" s="58">
        <f t="shared" si="1352"/>
        <v>0.63471580106014691</v>
      </c>
      <c r="S126" s="64"/>
      <c r="T126" s="58">
        <f t="shared" si="1339"/>
        <v>0</v>
      </c>
      <c r="U126" s="64">
        <v>1279.8</v>
      </c>
      <c r="V126" s="58">
        <f t="shared" si="1340"/>
        <v>0.48116601737744474</v>
      </c>
      <c r="W126" s="64">
        <v>1601.62</v>
      </c>
      <c r="X126" s="58">
        <f t="shared" si="881"/>
        <v>0.60216058505396386</v>
      </c>
      <c r="Y126" s="25">
        <f t="shared" si="791"/>
        <v>15044.839999999997</v>
      </c>
      <c r="Z126" s="58">
        <f t="shared" si="810"/>
        <v>0.47136699385847231</v>
      </c>
      <c r="AA126" s="25">
        <f t="shared" si="792"/>
        <v>1671.6488888888885</v>
      </c>
      <c r="AB126" s="71">
        <f t="shared" si="1353"/>
        <v>1738.514844444444</v>
      </c>
      <c r="AD126" s="69">
        <f t="shared" si="847"/>
        <v>1.04</v>
      </c>
      <c r="AG126" s="25">
        <v>894.62</v>
      </c>
      <c r="AH126" s="58">
        <f t="shared" si="765"/>
        <v>0.51458864608422872</v>
      </c>
      <c r="AI126" s="25">
        <v>2739.05</v>
      </c>
      <c r="AJ126" s="58">
        <f t="shared" ref="AJ126" si="1376">AI126/$AB126</f>
        <v>1.5755114250262758</v>
      </c>
      <c r="AK126" s="25"/>
      <c r="AL126" s="58">
        <f t="shared" si="1266"/>
        <v>0</v>
      </c>
      <c r="AM126" s="25">
        <v>804.11</v>
      </c>
      <c r="AN126" s="58">
        <f t="shared" si="1267"/>
        <v>0.46252696810130467</v>
      </c>
      <c r="AO126" s="25"/>
      <c r="AP126" s="58">
        <f t="shared" si="1268"/>
        <v>0</v>
      </c>
      <c r="AQ126" s="25"/>
      <c r="AR126" s="58">
        <f t="shared" si="1269"/>
        <v>0</v>
      </c>
      <c r="AS126" s="25"/>
      <c r="AT126" s="58">
        <f t="shared" si="1314"/>
        <v>0</v>
      </c>
      <c r="AU126" s="25">
        <v>505.1</v>
      </c>
      <c r="AV126" s="58">
        <f t="shared" si="1315"/>
        <v>0.29053533917992441</v>
      </c>
      <c r="AW126" s="25">
        <v>446.43</v>
      </c>
      <c r="AX126" s="58">
        <f t="shared" si="1316"/>
        <v>0.25678814387268589</v>
      </c>
      <c r="AY126" s="25">
        <v>1279.74</v>
      </c>
      <c r="AZ126" s="58">
        <f t="shared" si="1317"/>
        <v>0.73611105714139069</v>
      </c>
      <c r="BA126" s="25">
        <f t="shared" si="794"/>
        <v>6669.05</v>
      </c>
      <c r="BB126" s="58">
        <f t="shared" si="795"/>
        <v>0.31967179828381753</v>
      </c>
      <c r="BC126" s="25">
        <f t="shared" si="778"/>
        <v>741.00555555555559</v>
      </c>
      <c r="BD126" s="25">
        <f>AB126*BA1</f>
        <v>1808.0554382222217</v>
      </c>
      <c r="BE126" s="25">
        <f t="shared" si="779"/>
        <v>21696.665258666661</v>
      </c>
      <c r="BF126" s="129">
        <v>21696.665258666661</v>
      </c>
      <c r="BG126" s="129">
        <f t="shared" si="753"/>
        <v>1808.0554382222217</v>
      </c>
      <c r="BH126" s="25">
        <v>628.89</v>
      </c>
      <c r="BI126" s="58">
        <f t="shared" si="754"/>
        <v>0.34782672406237652</v>
      </c>
      <c r="BJ126" s="25">
        <v>1819.87</v>
      </c>
      <c r="BK126" s="58">
        <f t="shared" si="754"/>
        <v>1.0065344023905567</v>
      </c>
      <c r="BL126" s="25">
        <v>1001.41</v>
      </c>
      <c r="BM126" s="58">
        <f t="shared" ref="BM126" si="1377">BL126/$BG126</f>
        <v>0.55386022952074998</v>
      </c>
      <c r="BN126" s="25">
        <v>1379.16</v>
      </c>
      <c r="BO126" s="58">
        <f t="shared" ref="BO126" si="1378">BN126/$BG126</f>
        <v>0.76278634539882528</v>
      </c>
      <c r="BP126" s="25">
        <v>1362.37</v>
      </c>
      <c r="BQ126" s="58">
        <f t="shared" ref="BQ126" si="1379">BP126/$BG126</f>
        <v>0.75350012571492608</v>
      </c>
      <c r="BR126" s="25">
        <v>1492.98</v>
      </c>
      <c r="BS126" s="58">
        <f t="shared" ref="BS126" si="1380">BR126/$BG126</f>
        <v>0.82573795495340507</v>
      </c>
      <c r="BT126" s="25">
        <v>916.43</v>
      </c>
      <c r="BU126" s="58">
        <f t="shared" ref="BU126" si="1381">BT126/$BG126</f>
        <v>0.50685945830349299</v>
      </c>
      <c r="BV126" s="25">
        <v>874.64</v>
      </c>
      <c r="BW126" s="58">
        <f t="shared" ref="BW126" si="1382">BV126/$BG126</f>
        <v>0.48374622896518787</v>
      </c>
      <c r="BX126" s="25">
        <v>3116.89</v>
      </c>
      <c r="BY126" s="58">
        <f t="shared" ref="BY126" si="1383">BX126/$BG126</f>
        <v>1.7238907248688653</v>
      </c>
      <c r="BZ126" s="25">
        <v>1135.79</v>
      </c>
      <c r="CA126" s="58">
        <f t="shared" ref="CA126" si="1384">BZ126/$BG126</f>
        <v>0.62818317181511341</v>
      </c>
      <c r="CB126" s="25">
        <v>917.61</v>
      </c>
      <c r="CC126" s="58">
        <f t="shared" ref="CC126" si="1385">CB126/$BG126</f>
        <v>0.507512093159181</v>
      </c>
      <c r="CD126" s="25">
        <v>1184.27</v>
      </c>
      <c r="CE126" s="58">
        <f t="shared" ref="CE126" si="1386">CD126/$BG126</f>
        <v>0.6549965089369375</v>
      </c>
      <c r="CF126" s="25">
        <f t="shared" si="1264"/>
        <v>15830.310000000001</v>
      </c>
      <c r="CG126" s="58">
        <f t="shared" si="834"/>
        <v>0.72961949734080156</v>
      </c>
    </row>
    <row r="127" spans="1:85" ht="15.75" x14ac:dyDescent="0.25">
      <c r="A127" s="47" t="s">
        <v>91</v>
      </c>
      <c r="B127" s="25">
        <v>15000</v>
      </c>
      <c r="C127" s="26">
        <v>224.06</v>
      </c>
      <c r="D127" s="50">
        <v>15000</v>
      </c>
      <c r="E127" s="25">
        <v>10000</v>
      </c>
      <c r="F127" s="25">
        <f t="shared" si="1184"/>
        <v>833.33333333333337</v>
      </c>
      <c r="G127" s="25">
        <v>516.9</v>
      </c>
      <c r="H127" s="58">
        <f t="shared" si="806"/>
        <v>0.62027999999999994</v>
      </c>
      <c r="I127" s="25">
        <v>930</v>
      </c>
      <c r="J127" s="58">
        <f t="shared" si="807"/>
        <v>1.1159999999999999</v>
      </c>
      <c r="K127" s="25">
        <v>1249.6600000000001</v>
      </c>
      <c r="L127" s="58">
        <f t="shared" si="808"/>
        <v>1.499592</v>
      </c>
      <c r="M127" s="25">
        <v>285.33999999999997</v>
      </c>
      <c r="N127" s="58">
        <f t="shared" si="809"/>
        <v>0.34240799999999993</v>
      </c>
      <c r="O127" s="64"/>
      <c r="P127" s="58">
        <f t="shared" si="790"/>
        <v>0</v>
      </c>
      <c r="Q127" s="64">
        <v>455.6</v>
      </c>
      <c r="R127" s="58">
        <f t="shared" si="1352"/>
        <v>0.54671999999999998</v>
      </c>
      <c r="S127" s="64"/>
      <c r="T127" s="58">
        <f t="shared" si="1339"/>
        <v>0</v>
      </c>
      <c r="U127" s="64"/>
      <c r="V127" s="58">
        <f t="shared" si="1340"/>
        <v>0</v>
      </c>
      <c r="W127" s="64"/>
      <c r="X127" s="58">
        <f t="shared" si="881"/>
        <v>0</v>
      </c>
      <c r="Y127" s="25">
        <f t="shared" si="791"/>
        <v>3437.5000000000005</v>
      </c>
      <c r="Z127" s="58">
        <f t="shared" si="810"/>
        <v>0.34375000000000006</v>
      </c>
      <c r="AA127" s="25">
        <f t="shared" si="792"/>
        <v>381.94444444444451</v>
      </c>
      <c r="AB127" s="71">
        <f t="shared" si="1353"/>
        <v>397.22222222222229</v>
      </c>
      <c r="AD127" s="69">
        <f t="shared" si="847"/>
        <v>1.04</v>
      </c>
      <c r="AG127" s="25">
        <v>24.45</v>
      </c>
      <c r="AH127" s="58">
        <f t="shared" si="765"/>
        <v>6.1552447552447542E-2</v>
      </c>
      <c r="AI127" s="25"/>
      <c r="AJ127" s="58">
        <f t="shared" ref="AJ127" si="1387">AI127/$AB127</f>
        <v>0</v>
      </c>
      <c r="AK127" s="25"/>
      <c r="AL127" s="58">
        <f t="shared" si="1266"/>
        <v>0</v>
      </c>
      <c r="AM127" s="25"/>
      <c r="AN127" s="58">
        <f t="shared" si="1267"/>
        <v>0</v>
      </c>
      <c r="AO127" s="25"/>
      <c r="AP127" s="58">
        <f t="shared" si="1268"/>
        <v>0</v>
      </c>
      <c r="AQ127" s="25"/>
      <c r="AR127" s="58">
        <f t="shared" si="1269"/>
        <v>0</v>
      </c>
      <c r="AS127" s="25"/>
      <c r="AT127" s="58">
        <f t="shared" si="1314"/>
        <v>0</v>
      </c>
      <c r="AU127" s="25"/>
      <c r="AV127" s="58">
        <f t="shared" si="1315"/>
        <v>0</v>
      </c>
      <c r="AW127" s="25">
        <v>79.41</v>
      </c>
      <c r="AX127" s="58">
        <f t="shared" si="1316"/>
        <v>0.19991328671328668</v>
      </c>
      <c r="AY127" s="25"/>
      <c r="AZ127" s="58">
        <f t="shared" si="1317"/>
        <v>0</v>
      </c>
      <c r="BA127" s="25">
        <f t="shared" si="794"/>
        <v>103.86</v>
      </c>
      <c r="BB127" s="58">
        <f t="shared" si="795"/>
        <v>2.1788811188811184E-2</v>
      </c>
      <c r="BC127" s="25">
        <f t="shared" si="778"/>
        <v>11.54</v>
      </c>
      <c r="BD127" s="25">
        <f>AB127*BA1</f>
        <v>413.1111111111112</v>
      </c>
      <c r="BE127" s="25">
        <f t="shared" si="779"/>
        <v>4957.3333333333339</v>
      </c>
      <c r="BF127" s="129">
        <v>4957.3333333333339</v>
      </c>
      <c r="BG127" s="129">
        <f t="shared" si="753"/>
        <v>413.11111111111114</v>
      </c>
      <c r="BH127" s="25"/>
      <c r="BI127" s="58">
        <f t="shared" si="754"/>
        <v>0</v>
      </c>
      <c r="BJ127" s="25"/>
      <c r="BK127" s="58">
        <f t="shared" si="754"/>
        <v>0</v>
      </c>
      <c r="BL127" s="25"/>
      <c r="BM127" s="58">
        <f t="shared" ref="BM127" si="1388">BL127/$BG127</f>
        <v>0</v>
      </c>
      <c r="BN127" s="25"/>
      <c r="BO127" s="58">
        <f t="shared" ref="BO127" si="1389">BN127/$BG127</f>
        <v>0</v>
      </c>
      <c r="BP127" s="25">
        <v>800</v>
      </c>
      <c r="BQ127" s="58">
        <f t="shared" ref="BQ127" si="1390">BP127/$BG127</f>
        <v>1.9365250134480902</v>
      </c>
      <c r="BR127" s="25">
        <v>169.86</v>
      </c>
      <c r="BS127" s="58">
        <f t="shared" ref="BS127" si="1391">BR127/$BG127</f>
        <v>0.41117267348036579</v>
      </c>
      <c r="BT127" s="25">
        <v>618</v>
      </c>
      <c r="BU127" s="58">
        <f t="shared" ref="BU127" si="1392">BT127/$BG127</f>
        <v>1.4959655728886496</v>
      </c>
      <c r="BV127" s="25"/>
      <c r="BW127" s="58">
        <f t="shared" ref="BW127" si="1393">BV127/$BG127</f>
        <v>0</v>
      </c>
      <c r="BX127" s="25">
        <v>1832</v>
      </c>
      <c r="BY127" s="58">
        <f t="shared" ref="BY127" si="1394">BX127/$BG127</f>
        <v>4.434642280796127</v>
      </c>
      <c r="BZ127" s="25">
        <v>547.9</v>
      </c>
      <c r="CA127" s="58">
        <f t="shared" ref="CA127" si="1395">BZ127/$BG127</f>
        <v>1.3262775685852608</v>
      </c>
      <c r="CB127" s="25">
        <v>1136.6400000000001</v>
      </c>
      <c r="CC127" s="58">
        <f t="shared" ref="CC127" si="1396">CB127/$BG127</f>
        <v>2.7514147391070467</v>
      </c>
      <c r="CD127" s="25">
        <v>7553.12</v>
      </c>
      <c r="CE127" s="58">
        <f t="shared" ref="CE127" si="1397">CD127/$BG127</f>
        <v>18.283507261968797</v>
      </c>
      <c r="CF127" s="25">
        <f t="shared" si="1264"/>
        <v>12657.52</v>
      </c>
      <c r="CG127" s="58">
        <f t="shared" si="834"/>
        <v>2.5532920925228617</v>
      </c>
    </row>
    <row r="128" spans="1:85" ht="15.75" x14ac:dyDescent="0.25">
      <c r="A128" s="47" t="s">
        <v>122</v>
      </c>
      <c r="B128" s="25">
        <v>7241.8499999999995</v>
      </c>
      <c r="C128" s="26">
        <v>2640</v>
      </c>
      <c r="D128" s="50">
        <v>0</v>
      </c>
      <c r="E128" s="25">
        <v>0</v>
      </c>
      <c r="F128" s="25">
        <f t="shared" si="1184"/>
        <v>0</v>
      </c>
      <c r="G128" s="25"/>
      <c r="H128" s="58"/>
      <c r="I128" s="25"/>
      <c r="J128" s="58"/>
      <c r="K128" s="25">
        <v>0</v>
      </c>
      <c r="L128" s="58" t="e">
        <f t="shared" si="808"/>
        <v>#DIV/0!</v>
      </c>
      <c r="M128" s="25"/>
      <c r="N128" s="58" t="e">
        <f t="shared" si="809"/>
        <v>#DIV/0!</v>
      </c>
      <c r="O128" s="64"/>
      <c r="P128" s="58" t="e">
        <f t="shared" si="790"/>
        <v>#DIV/0!</v>
      </c>
      <c r="Q128" s="64"/>
      <c r="R128" s="58" t="e">
        <f t="shared" si="1352"/>
        <v>#DIV/0!</v>
      </c>
      <c r="S128" s="64"/>
      <c r="T128" s="58" t="e">
        <f t="shared" si="1339"/>
        <v>#DIV/0!</v>
      </c>
      <c r="U128" s="64"/>
      <c r="V128" s="58" t="e">
        <f t="shared" si="1340"/>
        <v>#DIV/0!</v>
      </c>
      <c r="W128" s="64"/>
      <c r="X128" s="58" t="e">
        <f t="shared" si="881"/>
        <v>#DIV/0!</v>
      </c>
      <c r="Y128" s="25">
        <f t="shared" si="791"/>
        <v>0</v>
      </c>
      <c r="Z128" s="58" t="e">
        <f t="shared" si="810"/>
        <v>#DIV/0!</v>
      </c>
      <c r="AA128" s="25">
        <f t="shared" si="792"/>
        <v>0</v>
      </c>
      <c r="AB128" s="71">
        <f t="shared" si="1353"/>
        <v>0</v>
      </c>
      <c r="AD128" s="69"/>
      <c r="AG128" s="25"/>
      <c r="AH128" s="58" t="e">
        <f t="shared" si="765"/>
        <v>#DIV/0!</v>
      </c>
      <c r="AI128" s="25"/>
      <c r="AJ128" s="58" t="e">
        <f t="shared" ref="AJ128" si="1398">AI128/$AB128</f>
        <v>#DIV/0!</v>
      </c>
      <c r="AK128" s="25"/>
      <c r="AL128" s="58" t="e">
        <f t="shared" si="1266"/>
        <v>#DIV/0!</v>
      </c>
      <c r="AM128" s="25"/>
      <c r="AN128" s="58" t="e">
        <f t="shared" si="1267"/>
        <v>#DIV/0!</v>
      </c>
      <c r="AO128" s="25"/>
      <c r="AP128" s="58" t="e">
        <f t="shared" si="1268"/>
        <v>#DIV/0!</v>
      </c>
      <c r="AQ128" s="25"/>
      <c r="AR128" s="58" t="e">
        <f t="shared" si="1269"/>
        <v>#DIV/0!</v>
      </c>
      <c r="AS128" s="25"/>
      <c r="AT128" s="58" t="e">
        <f t="shared" si="1314"/>
        <v>#DIV/0!</v>
      </c>
      <c r="AU128" s="25"/>
      <c r="AV128" s="58" t="e">
        <f t="shared" si="1315"/>
        <v>#DIV/0!</v>
      </c>
      <c r="AW128" s="25"/>
      <c r="AX128" s="58" t="e">
        <f t="shared" si="1316"/>
        <v>#DIV/0!</v>
      </c>
      <c r="AY128" s="25"/>
      <c r="AZ128" s="58" t="e">
        <f t="shared" si="1317"/>
        <v>#DIV/0!</v>
      </c>
      <c r="BA128" s="25">
        <f t="shared" si="794"/>
        <v>0</v>
      </c>
      <c r="BB128" s="58" t="e">
        <f t="shared" si="795"/>
        <v>#DIV/0!</v>
      </c>
      <c r="BC128" s="25">
        <f t="shared" si="778"/>
        <v>0</v>
      </c>
      <c r="BD128" s="25">
        <f>AB128</f>
        <v>0</v>
      </c>
      <c r="BE128" s="25">
        <f t="shared" si="779"/>
        <v>0</v>
      </c>
      <c r="BF128" s="129">
        <v>0</v>
      </c>
      <c r="BG128" s="129">
        <f t="shared" si="753"/>
        <v>0</v>
      </c>
      <c r="BH128" s="25"/>
      <c r="BI128" s="58" t="e">
        <f t="shared" si="754"/>
        <v>#DIV/0!</v>
      </c>
      <c r="BJ128" s="25"/>
      <c r="BK128" s="58" t="e">
        <f t="shared" si="754"/>
        <v>#DIV/0!</v>
      </c>
      <c r="BL128" s="25"/>
      <c r="BM128" s="58" t="e">
        <f t="shared" ref="BM128" si="1399">BL128/$BG128</f>
        <v>#DIV/0!</v>
      </c>
      <c r="BN128" s="25"/>
      <c r="BO128" s="58" t="e">
        <f t="shared" ref="BO128" si="1400">BN128/$BG128</f>
        <v>#DIV/0!</v>
      </c>
      <c r="BP128" s="25"/>
      <c r="BQ128" s="58" t="e">
        <f t="shared" ref="BQ128" si="1401">BP128/$BG128</f>
        <v>#DIV/0!</v>
      </c>
      <c r="BR128" s="25"/>
      <c r="BS128" s="58" t="e">
        <f t="shared" ref="BS128" si="1402">BR128/$BG128</f>
        <v>#DIV/0!</v>
      </c>
      <c r="BT128" s="25"/>
      <c r="BU128" s="58" t="e">
        <f t="shared" ref="BU128" si="1403">BT128/$BG128</f>
        <v>#DIV/0!</v>
      </c>
      <c r="BV128" s="25"/>
      <c r="BW128" s="58" t="e">
        <f t="shared" ref="BW128" si="1404">BV128/$BG128</f>
        <v>#DIV/0!</v>
      </c>
      <c r="BX128" s="25"/>
      <c r="BY128" s="58" t="e">
        <f t="shared" ref="BY128" si="1405">BX128/$BG128</f>
        <v>#DIV/0!</v>
      </c>
      <c r="BZ128" s="25"/>
      <c r="CA128" s="58" t="e">
        <f t="shared" ref="CA128" si="1406">BZ128/$BG128</f>
        <v>#DIV/0!</v>
      </c>
      <c r="CB128" s="25"/>
      <c r="CC128" s="58" t="e">
        <f t="shared" ref="CC128" si="1407">CB128/$BG128</f>
        <v>#DIV/0!</v>
      </c>
      <c r="CD128" s="25">
        <v>400</v>
      </c>
      <c r="CE128" s="58" t="e">
        <f t="shared" ref="CE128" si="1408">CD128/$BG128</f>
        <v>#DIV/0!</v>
      </c>
      <c r="CF128" s="25">
        <f t="shared" si="1264"/>
        <v>400</v>
      </c>
      <c r="CG128" s="58" t="e">
        <f t="shared" si="834"/>
        <v>#DIV/0!</v>
      </c>
    </row>
    <row r="129" spans="1:85" ht="15.75" x14ac:dyDescent="0.25">
      <c r="A129" s="47" t="s">
        <v>92</v>
      </c>
      <c r="B129" s="25">
        <v>14400</v>
      </c>
      <c r="C129" s="26">
        <v>23056.340000000004</v>
      </c>
      <c r="D129" s="50">
        <v>30741.78666666667</v>
      </c>
      <c r="E129" s="25">
        <v>22000</v>
      </c>
      <c r="F129" s="25">
        <f t="shared" si="1184"/>
        <v>1833.3333333333333</v>
      </c>
      <c r="G129" s="25"/>
      <c r="H129" s="58">
        <f t="shared" si="806"/>
        <v>0</v>
      </c>
      <c r="I129" s="25">
        <v>1620</v>
      </c>
      <c r="J129" s="58">
        <f t="shared" si="807"/>
        <v>0.88363636363636366</v>
      </c>
      <c r="K129" s="25">
        <v>2278.39</v>
      </c>
      <c r="L129" s="58">
        <f t="shared" si="808"/>
        <v>1.2427581818181819</v>
      </c>
      <c r="M129" s="25">
        <v>835.27</v>
      </c>
      <c r="N129" s="58">
        <f t="shared" si="809"/>
        <v>0.45560181818181816</v>
      </c>
      <c r="O129" s="64">
        <v>702.18</v>
      </c>
      <c r="P129" s="58">
        <f t="shared" si="790"/>
        <v>0.3830072727272727</v>
      </c>
      <c r="Q129" s="64"/>
      <c r="R129" s="58">
        <f t="shared" si="1352"/>
        <v>0</v>
      </c>
      <c r="S129" s="64"/>
      <c r="T129" s="58">
        <f t="shared" si="1339"/>
        <v>0</v>
      </c>
      <c r="U129" s="64"/>
      <c r="V129" s="58">
        <f t="shared" si="1340"/>
        <v>0</v>
      </c>
      <c r="W129" s="64">
        <v>360</v>
      </c>
      <c r="X129" s="58">
        <f t="shared" si="881"/>
        <v>0.19636363636363638</v>
      </c>
      <c r="Y129" s="25">
        <f t="shared" si="791"/>
        <v>5795.84</v>
      </c>
      <c r="Z129" s="58">
        <f t="shared" si="810"/>
        <v>0.26344727272727275</v>
      </c>
      <c r="AA129" s="25">
        <f t="shared" si="792"/>
        <v>643.98222222222228</v>
      </c>
      <c r="AB129" s="71">
        <f t="shared" si="1353"/>
        <v>669.74151111111121</v>
      </c>
      <c r="AD129" s="69">
        <f t="shared" si="847"/>
        <v>1.04</v>
      </c>
      <c r="AG129" s="25"/>
      <c r="AH129" s="58">
        <f t="shared" si="765"/>
        <v>0</v>
      </c>
      <c r="AI129" s="25">
        <v>1257.17</v>
      </c>
      <c r="AJ129" s="58">
        <f t="shared" ref="AJ129" si="1409">AI129/$AB129</f>
        <v>1.8770973265705693</v>
      </c>
      <c r="AK129" s="25"/>
      <c r="AL129" s="58">
        <f t="shared" si="1266"/>
        <v>0</v>
      </c>
      <c r="AM129" s="25">
        <v>2364.2800000000002</v>
      </c>
      <c r="AN129" s="58">
        <f t="shared" si="1267"/>
        <v>3.5301380618884206</v>
      </c>
      <c r="AO129" s="25"/>
      <c r="AP129" s="58">
        <f t="shared" si="1268"/>
        <v>0</v>
      </c>
      <c r="AQ129" s="25"/>
      <c r="AR129" s="58">
        <f t="shared" si="1269"/>
        <v>0</v>
      </c>
      <c r="AS129" s="25"/>
      <c r="AT129" s="58">
        <f t="shared" si="1314"/>
        <v>0</v>
      </c>
      <c r="AU129" s="25"/>
      <c r="AV129" s="58">
        <f t="shared" si="1315"/>
        <v>0</v>
      </c>
      <c r="AW129" s="25"/>
      <c r="AX129" s="58">
        <f t="shared" si="1316"/>
        <v>0</v>
      </c>
      <c r="AY129" s="25"/>
      <c r="AZ129" s="58">
        <f t="shared" si="1317"/>
        <v>0</v>
      </c>
      <c r="BA129" s="25">
        <f t="shared" si="794"/>
        <v>3621.4500000000003</v>
      </c>
      <c r="BB129" s="58">
        <f t="shared" si="795"/>
        <v>0.45060294903824916</v>
      </c>
      <c r="BC129" s="25">
        <f t="shared" si="778"/>
        <v>402.38333333333338</v>
      </c>
      <c r="BD129" s="25">
        <f>AB129*BA1</f>
        <v>696.53117155555572</v>
      </c>
      <c r="BE129" s="25">
        <f t="shared" si="779"/>
        <v>8358.3740586666681</v>
      </c>
      <c r="BF129" s="129">
        <v>8358.3740586666681</v>
      </c>
      <c r="BG129" s="129">
        <f t="shared" si="753"/>
        <v>696.53117155555572</v>
      </c>
      <c r="BH129" s="25"/>
      <c r="BI129" s="58">
        <f t="shared" si="754"/>
        <v>0</v>
      </c>
      <c r="BJ129" s="25"/>
      <c r="BK129" s="58">
        <f t="shared" si="754"/>
        <v>0</v>
      </c>
      <c r="BL129" s="25"/>
      <c r="BM129" s="58">
        <f t="shared" ref="BM129" si="1410">BL129/$BG129</f>
        <v>0</v>
      </c>
      <c r="BN129" s="25"/>
      <c r="BO129" s="58">
        <f t="shared" ref="BO129" si="1411">BN129/$BG129</f>
        <v>0</v>
      </c>
      <c r="BP129" s="25"/>
      <c r="BQ129" s="58">
        <f t="shared" ref="BQ129" si="1412">BP129/$BG129</f>
        <v>0</v>
      </c>
      <c r="BR129" s="25"/>
      <c r="BS129" s="58">
        <f t="shared" ref="BS129" si="1413">BR129/$BG129</f>
        <v>0</v>
      </c>
      <c r="BT129" s="25"/>
      <c r="BU129" s="58">
        <f t="shared" ref="BU129" si="1414">BT129/$BG129</f>
        <v>0</v>
      </c>
      <c r="BV129" s="25"/>
      <c r="BW129" s="58">
        <f t="shared" ref="BW129" si="1415">BV129/$BG129</f>
        <v>0</v>
      </c>
      <c r="BX129" s="25"/>
      <c r="BY129" s="58">
        <f t="shared" ref="BY129" si="1416">BX129/$BG129</f>
        <v>0</v>
      </c>
      <c r="BZ129" s="25"/>
      <c r="CA129" s="58">
        <f t="shared" ref="CA129" si="1417">BZ129/$BG129</f>
        <v>0</v>
      </c>
      <c r="CB129" s="25"/>
      <c r="CC129" s="58">
        <f t="shared" ref="CC129" si="1418">CB129/$BG129</f>
        <v>0</v>
      </c>
      <c r="CD129" s="25"/>
      <c r="CE129" s="58">
        <f t="shared" ref="CE129" si="1419">CD129/$BG129</f>
        <v>0</v>
      </c>
      <c r="CF129" s="25">
        <f t="shared" si="1264"/>
        <v>0</v>
      </c>
      <c r="CG129" s="58">
        <f t="shared" si="834"/>
        <v>0</v>
      </c>
    </row>
    <row r="130" spans="1:85" ht="15.75" x14ac:dyDescent="0.25">
      <c r="A130" s="47" t="s">
        <v>93</v>
      </c>
      <c r="B130" s="25">
        <v>37000</v>
      </c>
      <c r="C130" s="26">
        <v>10299.709999999999</v>
      </c>
      <c r="D130" s="50">
        <v>13732.946666666667</v>
      </c>
      <c r="E130" s="25">
        <v>10000</v>
      </c>
      <c r="F130" s="25">
        <f t="shared" si="1184"/>
        <v>833.33333333333337</v>
      </c>
      <c r="G130" s="25"/>
      <c r="H130" s="58">
        <f t="shared" si="806"/>
        <v>0</v>
      </c>
      <c r="I130" s="25">
        <v>2100</v>
      </c>
      <c r="J130" s="58">
        <f t="shared" si="807"/>
        <v>2.52</v>
      </c>
      <c r="K130" s="25">
        <v>10088.17</v>
      </c>
      <c r="L130" s="58">
        <f t="shared" si="808"/>
        <v>12.105803999999999</v>
      </c>
      <c r="M130" s="25">
        <f>471.42+2349+14646.31</f>
        <v>17466.73</v>
      </c>
      <c r="N130" s="58">
        <f t="shared" si="809"/>
        <v>20.960075999999997</v>
      </c>
      <c r="O130" s="64">
        <f>1850.97+6530.66+1966.95</f>
        <v>10348.58</v>
      </c>
      <c r="P130" s="58">
        <f t="shared" si="790"/>
        <v>12.418296</v>
      </c>
      <c r="Q130" s="64">
        <f>7467+450.86+1204.76+1393.31+1080.59</f>
        <v>11596.519999999999</v>
      </c>
      <c r="R130" s="58">
        <f t="shared" si="1352"/>
        <v>13.915823999999997</v>
      </c>
      <c r="S130" s="64">
        <f>3296.2</f>
        <v>3296.2</v>
      </c>
      <c r="T130" s="58">
        <f t="shared" si="1339"/>
        <v>3.9554399999999994</v>
      </c>
      <c r="U130" s="64">
        <f>2349+1079</f>
        <v>3428</v>
      </c>
      <c r="V130" s="58">
        <f t="shared" si="1340"/>
        <v>4.1135999999999999</v>
      </c>
      <c r="W130" s="64">
        <f>510+9217+150</f>
        <v>9877</v>
      </c>
      <c r="X130" s="58">
        <f t="shared" si="881"/>
        <v>11.852399999999999</v>
      </c>
      <c r="Y130" s="25">
        <f t="shared" si="791"/>
        <v>68201.2</v>
      </c>
      <c r="Z130" s="58">
        <f t="shared" si="810"/>
        <v>6.8201199999999993</v>
      </c>
      <c r="AA130" s="25">
        <f t="shared" si="792"/>
        <v>7577.9111111111106</v>
      </c>
      <c r="AB130" s="71">
        <v>7100</v>
      </c>
      <c r="AD130" s="69">
        <f t="shared" si="847"/>
        <v>0.93693366099130226</v>
      </c>
      <c r="AG130" s="25">
        <f>1150+245</f>
        <v>1395</v>
      </c>
      <c r="AH130" s="58">
        <f t="shared" si="765"/>
        <v>0.19647887323943661</v>
      </c>
      <c r="AI130" s="25">
        <f>1147.68+1890+210</f>
        <v>3247.6800000000003</v>
      </c>
      <c r="AJ130" s="58">
        <f t="shared" ref="AJ130" si="1420">AI130/$AB130</f>
        <v>0.45741971830985917</v>
      </c>
      <c r="AK130" s="25"/>
      <c r="AL130" s="58">
        <f t="shared" si="1266"/>
        <v>0</v>
      </c>
      <c r="AM130" s="25">
        <f>3848.43+1811.28</f>
        <v>5659.71</v>
      </c>
      <c r="AN130" s="58">
        <f t="shared" si="1267"/>
        <v>0.79714225352112678</v>
      </c>
      <c r="AO130" s="25">
        <v>600</v>
      </c>
      <c r="AP130" s="58">
        <f t="shared" si="1268"/>
        <v>8.4507042253521125E-2</v>
      </c>
      <c r="AQ130" s="25">
        <f>4147-547</f>
        <v>3600</v>
      </c>
      <c r="AR130" s="58">
        <f t="shared" si="1269"/>
        <v>0.50704225352112675</v>
      </c>
      <c r="AS130" s="25">
        <v>1800</v>
      </c>
      <c r="AT130" s="58">
        <f t="shared" si="1314"/>
        <v>0.25352112676056338</v>
      </c>
      <c r="AU130" s="25">
        <v>450</v>
      </c>
      <c r="AV130" s="58">
        <f t="shared" si="1315"/>
        <v>6.3380281690140844E-2</v>
      </c>
      <c r="AW130" s="25">
        <v>1231.3</v>
      </c>
      <c r="AX130" s="58">
        <f t="shared" si="1316"/>
        <v>0.1734225352112676</v>
      </c>
      <c r="AY130" s="25">
        <v>2352.4</v>
      </c>
      <c r="AZ130" s="58">
        <f t="shared" si="1317"/>
        <v>0.33132394366197182</v>
      </c>
      <c r="BA130" s="25">
        <f t="shared" si="794"/>
        <v>20336.09</v>
      </c>
      <c r="BB130" s="58">
        <f t="shared" si="795"/>
        <v>0.23868650234741784</v>
      </c>
      <c r="BC130" s="25">
        <f t="shared" si="778"/>
        <v>2259.5655555555554</v>
      </c>
      <c r="BD130" s="25">
        <f>AB130*BA1</f>
        <v>7384</v>
      </c>
      <c r="BE130" s="25">
        <f t="shared" si="779"/>
        <v>88608</v>
      </c>
      <c r="BF130" s="129">
        <v>43000</v>
      </c>
      <c r="BG130" s="129">
        <f t="shared" si="753"/>
        <v>3583.3333333333335</v>
      </c>
      <c r="BH130" s="25"/>
      <c r="BI130" s="58">
        <f t="shared" si="754"/>
        <v>0</v>
      </c>
      <c r="BJ130" s="25">
        <v>2711.01</v>
      </c>
      <c r="BK130" s="58">
        <f t="shared" si="754"/>
        <v>0.75656093023255822</v>
      </c>
      <c r="BL130" s="25">
        <f>2582.94</f>
        <v>2582.94</v>
      </c>
      <c r="BM130" s="58">
        <f t="shared" ref="BM130" si="1421">BL130/$BG130</f>
        <v>0.72082046511627906</v>
      </c>
      <c r="BN130" s="25">
        <v>4103.04</v>
      </c>
      <c r="BO130" s="58">
        <f t="shared" ref="BO130" si="1422">BN130/$BG130</f>
        <v>1.145034418604651</v>
      </c>
      <c r="BP130" s="25">
        <v>5747</v>
      </c>
      <c r="BQ130" s="58">
        <f t="shared" ref="BQ130" si="1423">BP130/$BG130</f>
        <v>1.603813953488372</v>
      </c>
      <c r="BR130" s="25">
        <v>3557.8</v>
      </c>
      <c r="BS130" s="58">
        <f t="shared" ref="BS130" si="1424">BR130/$BG130</f>
        <v>0.9928744186046512</v>
      </c>
      <c r="BT130" s="25">
        <f>1818-618</f>
        <v>1200</v>
      </c>
      <c r="BU130" s="58">
        <f t="shared" ref="BU130" si="1425">BT130/$BG130</f>
        <v>0.33488372093023255</v>
      </c>
      <c r="BV130" s="25"/>
      <c r="BW130" s="58">
        <f t="shared" ref="BW130" si="1426">BV130/$BG130</f>
        <v>0</v>
      </c>
      <c r="BX130" s="25">
        <f>4061+1662+2469.3+3045.9</f>
        <v>11238.199999999999</v>
      </c>
      <c r="BY130" s="58">
        <f t="shared" ref="BY130" si="1427">BX130/$BG130</f>
        <v>3.1362418604651157</v>
      </c>
      <c r="BZ130" s="25">
        <v>12038.3</v>
      </c>
      <c r="CA130" s="58">
        <f t="shared" ref="CA130" si="1428">BZ130/$BG130</f>
        <v>3.3595255813953484</v>
      </c>
      <c r="CB130" s="25">
        <f>2368+5610.9</f>
        <v>7978.9</v>
      </c>
      <c r="CC130" s="58">
        <f t="shared" ref="CC130" si="1429">CB130/$BG130</f>
        <v>2.2266697674418601</v>
      </c>
      <c r="CD130" s="25">
        <v>7401.22</v>
      </c>
      <c r="CE130" s="58">
        <f t="shared" ref="CE130" si="1430">CD130/$BG130</f>
        <v>2.0654567441860463</v>
      </c>
      <c r="CF130" s="25">
        <f t="shared" si="1264"/>
        <v>58558.409999999996</v>
      </c>
      <c r="CG130" s="58">
        <f t="shared" si="834"/>
        <v>1.361823488372093</v>
      </c>
    </row>
    <row r="131" spans="1:85" ht="15.75" x14ac:dyDescent="0.25">
      <c r="A131" s="47" t="s">
        <v>74</v>
      </c>
      <c r="B131" s="25">
        <v>0</v>
      </c>
      <c r="C131" s="26"/>
      <c r="D131" s="26">
        <v>0</v>
      </c>
      <c r="E131" s="25"/>
      <c r="F131" s="25">
        <f t="shared" si="1184"/>
        <v>0</v>
      </c>
      <c r="G131" s="25"/>
      <c r="H131" s="58"/>
      <c r="I131" s="25"/>
      <c r="J131" s="58"/>
      <c r="K131" s="25"/>
      <c r="L131" s="58"/>
      <c r="M131" s="25"/>
      <c r="N131" s="58" t="e">
        <f t="shared" si="809"/>
        <v>#DIV/0!</v>
      </c>
      <c r="O131" s="64"/>
      <c r="P131" s="58" t="e">
        <f t="shared" si="790"/>
        <v>#DIV/0!</v>
      </c>
      <c r="Q131" s="64"/>
      <c r="R131" s="58" t="e">
        <f t="shared" si="1352"/>
        <v>#DIV/0!</v>
      </c>
      <c r="S131" s="64"/>
      <c r="T131" s="58" t="e">
        <f t="shared" si="1339"/>
        <v>#DIV/0!</v>
      </c>
      <c r="U131" s="64"/>
      <c r="V131" s="58" t="e">
        <f t="shared" si="1340"/>
        <v>#DIV/0!</v>
      </c>
      <c r="W131" s="64">
        <v>99</v>
      </c>
      <c r="X131" s="58" t="e">
        <f t="shared" si="881"/>
        <v>#DIV/0!</v>
      </c>
      <c r="Y131" s="25">
        <f t="shared" si="791"/>
        <v>99</v>
      </c>
      <c r="Z131" s="58"/>
      <c r="AA131" s="25">
        <f t="shared" si="792"/>
        <v>11</v>
      </c>
      <c r="AB131" s="71">
        <v>15</v>
      </c>
      <c r="AD131" s="69"/>
      <c r="AG131" s="25"/>
      <c r="AH131" s="58">
        <f t="shared" si="765"/>
        <v>0</v>
      </c>
      <c r="AI131" s="25"/>
      <c r="AJ131" s="58">
        <f t="shared" ref="AJ131" si="1431">AI131/$AB131</f>
        <v>0</v>
      </c>
      <c r="AK131" s="25"/>
      <c r="AL131" s="58">
        <f t="shared" si="1266"/>
        <v>0</v>
      </c>
      <c r="AM131" s="25"/>
      <c r="AN131" s="58">
        <f t="shared" si="1267"/>
        <v>0</v>
      </c>
      <c r="AO131" s="25"/>
      <c r="AP131" s="58">
        <f t="shared" si="1268"/>
        <v>0</v>
      </c>
      <c r="AQ131" s="25"/>
      <c r="AR131" s="58">
        <f t="shared" si="1269"/>
        <v>0</v>
      </c>
      <c r="AS131" s="25"/>
      <c r="AT131" s="58">
        <f t="shared" si="1314"/>
        <v>0</v>
      </c>
      <c r="AU131" s="25"/>
      <c r="AV131" s="58">
        <f t="shared" si="1315"/>
        <v>0</v>
      </c>
      <c r="AW131" s="25"/>
      <c r="AX131" s="58">
        <f t="shared" si="1316"/>
        <v>0</v>
      </c>
      <c r="AY131" s="25"/>
      <c r="AZ131" s="58">
        <f t="shared" si="1317"/>
        <v>0</v>
      </c>
      <c r="BA131" s="25">
        <f t="shared" si="794"/>
        <v>0</v>
      </c>
      <c r="BB131" s="58">
        <f t="shared" si="795"/>
        <v>0</v>
      </c>
      <c r="BC131" s="25">
        <f t="shared" si="778"/>
        <v>0</v>
      </c>
      <c r="BD131" s="25">
        <f>AB131*BA1</f>
        <v>15.600000000000001</v>
      </c>
      <c r="BE131" s="25">
        <f t="shared" si="779"/>
        <v>187.20000000000002</v>
      </c>
      <c r="BF131" s="129">
        <v>187.20000000000002</v>
      </c>
      <c r="BG131" s="129">
        <f t="shared" si="753"/>
        <v>15.600000000000001</v>
      </c>
      <c r="BH131" s="25"/>
      <c r="BI131" s="58">
        <f t="shared" si="754"/>
        <v>0</v>
      </c>
      <c r="BJ131" s="25"/>
      <c r="BK131" s="58">
        <f t="shared" si="754"/>
        <v>0</v>
      </c>
      <c r="BL131" s="25"/>
      <c r="BM131" s="58">
        <f t="shared" ref="BM131" si="1432">BL131/$BG131</f>
        <v>0</v>
      </c>
      <c r="BN131" s="25"/>
      <c r="BO131" s="58">
        <f t="shared" ref="BO131" si="1433">BN131/$BG131</f>
        <v>0</v>
      </c>
      <c r="BP131" s="25"/>
      <c r="BQ131" s="58">
        <f t="shared" ref="BQ131" si="1434">BP131/$BG131</f>
        <v>0</v>
      </c>
      <c r="BR131" s="25"/>
      <c r="BS131" s="58">
        <f t="shared" ref="BS131" si="1435">BR131/$BG131</f>
        <v>0</v>
      </c>
      <c r="BT131" s="25"/>
      <c r="BU131" s="58">
        <f t="shared" ref="BU131" si="1436">BT131/$BG131</f>
        <v>0</v>
      </c>
      <c r="BV131" s="25"/>
      <c r="BW131" s="58">
        <f t="shared" ref="BW131" si="1437">BV131/$BG131</f>
        <v>0</v>
      </c>
      <c r="BX131" s="25"/>
      <c r="BY131" s="58">
        <f t="shared" ref="BY131" si="1438">BX131/$BG131</f>
        <v>0</v>
      </c>
      <c r="BZ131" s="25"/>
      <c r="CA131" s="58">
        <f t="shared" ref="CA131" si="1439">BZ131/$BG131</f>
        <v>0</v>
      </c>
      <c r="CB131" s="25"/>
      <c r="CC131" s="58">
        <f t="shared" ref="CC131" si="1440">CB131/$BG131</f>
        <v>0</v>
      </c>
      <c r="CD131" s="25"/>
      <c r="CE131" s="58">
        <f t="shared" ref="CE131" si="1441">CD131/$BG131</f>
        <v>0</v>
      </c>
      <c r="CF131" s="25">
        <f t="shared" si="1264"/>
        <v>0</v>
      </c>
      <c r="CG131" s="58">
        <f t="shared" si="834"/>
        <v>0</v>
      </c>
    </row>
    <row r="132" spans="1:85" ht="15.75" x14ac:dyDescent="0.25">
      <c r="A132" s="47" t="s">
        <v>94</v>
      </c>
      <c r="B132" s="25">
        <v>30801.374999999996</v>
      </c>
      <c r="C132" s="26">
        <v>25850</v>
      </c>
      <c r="D132" s="26">
        <v>34466.666666666664</v>
      </c>
      <c r="E132" s="25">
        <v>36190</v>
      </c>
      <c r="F132" s="25">
        <f t="shared" si="1184"/>
        <v>3015.8333333333335</v>
      </c>
      <c r="G132" s="25">
        <v>700</v>
      </c>
      <c r="H132" s="58">
        <f t="shared" si="806"/>
        <v>0.23210831721470018</v>
      </c>
      <c r="I132" s="25"/>
      <c r="J132" s="58">
        <f t="shared" si="807"/>
        <v>0</v>
      </c>
      <c r="K132" s="25"/>
      <c r="L132" s="58">
        <f t="shared" si="808"/>
        <v>0</v>
      </c>
      <c r="M132" s="25"/>
      <c r="N132" s="58">
        <f t="shared" si="809"/>
        <v>0</v>
      </c>
      <c r="O132" s="64">
        <v>700</v>
      </c>
      <c r="P132" s="58">
        <f t="shared" si="790"/>
        <v>0.23210831721470018</v>
      </c>
      <c r="Q132" s="64"/>
      <c r="R132" s="58">
        <f t="shared" si="1352"/>
        <v>0</v>
      </c>
      <c r="S132" s="64">
        <v>1400</v>
      </c>
      <c r="T132" s="58">
        <f t="shared" si="1339"/>
        <v>0.46421663442940037</v>
      </c>
      <c r="U132" s="64">
        <v>2600</v>
      </c>
      <c r="V132" s="58">
        <f t="shared" si="1340"/>
        <v>0.86211660679745783</v>
      </c>
      <c r="W132" s="64"/>
      <c r="X132" s="58">
        <f t="shared" si="881"/>
        <v>0</v>
      </c>
      <c r="Y132" s="25">
        <f t="shared" si="791"/>
        <v>5400</v>
      </c>
      <c r="Z132" s="58">
        <f t="shared" si="810"/>
        <v>0.14921248963802156</v>
      </c>
      <c r="AA132" s="25">
        <f t="shared" si="792"/>
        <v>600</v>
      </c>
      <c r="AB132" s="71">
        <f t="shared" si="1353"/>
        <v>624</v>
      </c>
      <c r="AD132" s="69">
        <f t="shared" si="847"/>
        <v>1.04</v>
      </c>
      <c r="AG132" s="25"/>
      <c r="AH132" s="58">
        <f t="shared" si="765"/>
        <v>0</v>
      </c>
      <c r="AI132" s="25">
        <v>1200</v>
      </c>
      <c r="AJ132" s="58">
        <f t="shared" ref="AJ132" si="1442">AI132/$AB132</f>
        <v>1.9230769230769231</v>
      </c>
      <c r="AK132" s="25"/>
      <c r="AL132" s="58">
        <f t="shared" si="1266"/>
        <v>0</v>
      </c>
      <c r="AM132" s="25">
        <v>6000</v>
      </c>
      <c r="AN132" s="58">
        <f t="shared" si="1267"/>
        <v>9.615384615384615</v>
      </c>
      <c r="AO132" s="25"/>
      <c r="AP132" s="58">
        <f t="shared" si="1268"/>
        <v>0</v>
      </c>
      <c r="AQ132" s="25"/>
      <c r="AR132" s="58">
        <f t="shared" si="1269"/>
        <v>0</v>
      </c>
      <c r="AS132" s="25">
        <v>3941.7</v>
      </c>
      <c r="AT132" s="58">
        <f t="shared" si="1314"/>
        <v>6.3168269230769232</v>
      </c>
      <c r="AU132" s="25">
        <v>1316</v>
      </c>
      <c r="AV132" s="58">
        <f t="shared" si="1315"/>
        <v>2.108974358974359</v>
      </c>
      <c r="AW132" s="25"/>
      <c r="AX132" s="58">
        <f t="shared" si="1316"/>
        <v>0</v>
      </c>
      <c r="AY132" s="25">
        <v>2254.4</v>
      </c>
      <c r="AZ132" s="58">
        <f t="shared" si="1317"/>
        <v>3.6128205128205129</v>
      </c>
      <c r="BA132" s="25">
        <f t="shared" si="794"/>
        <v>14712.1</v>
      </c>
      <c r="BB132" s="58">
        <f t="shared" si="795"/>
        <v>1.9647569444444446</v>
      </c>
      <c r="BC132" s="25">
        <f t="shared" si="778"/>
        <v>1634.6777777777779</v>
      </c>
      <c r="BD132" s="25">
        <f>AB132*BA1</f>
        <v>648.96</v>
      </c>
      <c r="BE132" s="25">
        <f t="shared" si="779"/>
        <v>7787.52</v>
      </c>
      <c r="BF132" s="129">
        <v>7787.52</v>
      </c>
      <c r="BG132" s="129">
        <f t="shared" si="753"/>
        <v>648.96</v>
      </c>
      <c r="BH132" s="25"/>
      <c r="BI132" s="58">
        <f t="shared" si="754"/>
        <v>0</v>
      </c>
      <c r="BJ132" s="25">
        <v>1900</v>
      </c>
      <c r="BK132" s="58">
        <f t="shared" si="754"/>
        <v>2.9277613412228796</v>
      </c>
      <c r="BL132" s="25">
        <v>4950</v>
      </c>
      <c r="BM132" s="58">
        <f t="shared" ref="BM132" si="1443">BL132/$BG132</f>
        <v>7.6275887573964489</v>
      </c>
      <c r="BN132" s="25"/>
      <c r="BO132" s="58">
        <f t="shared" ref="BO132" si="1444">BN132/$BG132</f>
        <v>0</v>
      </c>
      <c r="BP132" s="25">
        <v>3100</v>
      </c>
      <c r="BQ132" s="58">
        <f t="shared" ref="BQ132" si="1445">BP132/$BG132</f>
        <v>4.7768737672583823</v>
      </c>
      <c r="BR132" s="25">
        <f>2100-116.85</f>
        <v>1983.15</v>
      </c>
      <c r="BS132" s="58">
        <f t="shared" ref="BS132" si="1446">BR132/$BG132</f>
        <v>3.0558894230769229</v>
      </c>
      <c r="BT132" s="25">
        <v>1400</v>
      </c>
      <c r="BU132" s="58">
        <f t="shared" ref="BU132" si="1447">BT132/$BG132</f>
        <v>2.1572978303747532</v>
      </c>
      <c r="BV132" s="25"/>
      <c r="BW132" s="58">
        <f t="shared" ref="BW132" si="1448">BV132/$BG132</f>
        <v>0</v>
      </c>
      <c r="BX132" s="25">
        <v>1200</v>
      </c>
      <c r="BY132" s="58">
        <f t="shared" ref="BY132" si="1449">BX132/$BG132</f>
        <v>1.849112426035503</v>
      </c>
      <c r="BZ132" s="25">
        <v>2100</v>
      </c>
      <c r="CA132" s="58">
        <f t="shared" ref="CA132" si="1450">BZ132/$BG132</f>
        <v>3.23594674556213</v>
      </c>
      <c r="CB132" s="25"/>
      <c r="CC132" s="58">
        <f t="shared" ref="CC132" si="1451">CB132/$BG132</f>
        <v>0</v>
      </c>
      <c r="CD132" s="25">
        <v>1084.8800000000001</v>
      </c>
      <c r="CE132" s="58">
        <f t="shared" ref="CE132" si="1452">CD132/$BG132</f>
        <v>1.6717209072978305</v>
      </c>
      <c r="CF132" s="25">
        <f t="shared" si="1264"/>
        <v>17718.030000000002</v>
      </c>
      <c r="CG132" s="58">
        <f t="shared" si="834"/>
        <v>2.2751825998520712</v>
      </c>
    </row>
    <row r="133" spans="1:85" ht="15.75" x14ac:dyDescent="0.25">
      <c r="A133" s="40" t="s">
        <v>95</v>
      </c>
      <c r="B133" s="35">
        <v>392072.39635</v>
      </c>
      <c r="C133" s="35">
        <v>206058.62</v>
      </c>
      <c r="D133" s="36">
        <v>274744.82666666666</v>
      </c>
      <c r="E133" s="36">
        <v>376207.77399999998</v>
      </c>
      <c r="F133" s="36">
        <f t="shared" si="1184"/>
        <v>31350.647833333333</v>
      </c>
      <c r="G133" s="36">
        <f>G134</f>
        <v>23383.600000000002</v>
      </c>
      <c r="H133" s="59">
        <f t="shared" si="806"/>
        <v>0.7458729441353863</v>
      </c>
      <c r="I133" s="36">
        <f>I134</f>
        <v>57918.859999999993</v>
      </c>
      <c r="J133" s="59">
        <f t="shared" si="807"/>
        <v>1.8474533702751181</v>
      </c>
      <c r="K133" s="36">
        <f>K134</f>
        <v>58594.840000000004</v>
      </c>
      <c r="L133" s="59">
        <f t="shared" si="808"/>
        <v>1.869015285154634</v>
      </c>
      <c r="M133" s="36">
        <f>M134</f>
        <v>63139.560000000012</v>
      </c>
      <c r="N133" s="59">
        <f t="shared" si="809"/>
        <v>2.0139794346727142</v>
      </c>
      <c r="O133" s="65">
        <f>O134</f>
        <v>62988.330000000009</v>
      </c>
      <c r="P133" s="59">
        <f t="shared" si="790"/>
        <v>2.0091556109098376</v>
      </c>
      <c r="Q133" s="65">
        <f>Q134</f>
        <v>83349</v>
      </c>
      <c r="R133" s="59">
        <f t="shared" si="1352"/>
        <v>2.6586053482244099</v>
      </c>
      <c r="S133" s="65">
        <f>S134</f>
        <v>21803.97</v>
      </c>
      <c r="T133" s="59">
        <f t="shared" si="1339"/>
        <v>0.69548706348635958</v>
      </c>
      <c r="U133" s="65">
        <f>U134</f>
        <v>48830.770000000004</v>
      </c>
      <c r="V133" s="59">
        <f t="shared" si="1340"/>
        <v>1.5575681325500734</v>
      </c>
      <c r="W133" s="65">
        <f>W134</f>
        <v>53943.86</v>
      </c>
      <c r="X133" s="59">
        <f t="shared" si="881"/>
        <v>1.720661731992811</v>
      </c>
      <c r="Y133" s="36">
        <f t="shared" si="791"/>
        <v>473952.79000000004</v>
      </c>
      <c r="Z133" s="59">
        <f t="shared" si="810"/>
        <v>1.2598165767834453</v>
      </c>
      <c r="AA133" s="36">
        <f t="shared" si="792"/>
        <v>52661.421111111114</v>
      </c>
      <c r="AB133" s="36">
        <f>AB134</f>
        <v>40188.198766666668</v>
      </c>
      <c r="AD133" s="69"/>
      <c r="AG133" s="36">
        <f>AG134</f>
        <v>15820.53</v>
      </c>
      <c r="AH133" s="59">
        <f t="shared" si="765"/>
        <v>0.39366108672484312</v>
      </c>
      <c r="AI133" s="36">
        <f>AI134</f>
        <v>20122.509999999998</v>
      </c>
      <c r="AJ133" s="59">
        <f t="shared" ref="AJ133" si="1453">AI133/$AB133</f>
        <v>0.5007069392891087</v>
      </c>
      <c r="AK133" s="36">
        <f>AK134</f>
        <v>0</v>
      </c>
      <c r="AL133" s="59">
        <f t="shared" si="1266"/>
        <v>0</v>
      </c>
      <c r="AM133" s="36">
        <f>AM134</f>
        <v>22464.420000000002</v>
      </c>
      <c r="AN133" s="59">
        <f t="shared" si="1267"/>
        <v>0.5589805139172519</v>
      </c>
      <c r="AO133" s="36">
        <f>AO134</f>
        <v>18452.32</v>
      </c>
      <c r="AP133" s="59">
        <f t="shared" si="1268"/>
        <v>0.4591477241150933</v>
      </c>
      <c r="AQ133" s="36">
        <f>AQ134</f>
        <v>14222.41</v>
      </c>
      <c r="AR133" s="59">
        <f t="shared" si="1269"/>
        <v>0.35389518407071546</v>
      </c>
      <c r="AS133" s="36">
        <f>AS134</f>
        <v>19077.650000000001</v>
      </c>
      <c r="AT133" s="59">
        <f t="shared" si="1314"/>
        <v>0.47470776460435926</v>
      </c>
      <c r="AU133" s="36">
        <f>AU134</f>
        <v>14981.560000000001</v>
      </c>
      <c r="AV133" s="59">
        <f t="shared" si="1315"/>
        <v>0.37278505779726984</v>
      </c>
      <c r="AW133" s="36">
        <f>AW134</f>
        <v>20510.339999999997</v>
      </c>
      <c r="AX133" s="59">
        <f t="shared" si="1316"/>
        <v>0.51035728471144881</v>
      </c>
      <c r="AY133" s="36">
        <f>AY134</f>
        <v>39380.17</v>
      </c>
      <c r="AZ133" s="59">
        <f t="shared" si="1317"/>
        <v>0.9798938795102986</v>
      </c>
      <c r="BA133" s="36">
        <f t="shared" si="794"/>
        <v>185031.90999999997</v>
      </c>
      <c r="BB133" s="59">
        <f t="shared" si="795"/>
        <v>0.38367795289503237</v>
      </c>
      <c r="BC133" s="36">
        <f t="shared" si="778"/>
        <v>20559.101111111107</v>
      </c>
      <c r="BD133" s="36">
        <f>BD134</f>
        <v>41452.058365333338</v>
      </c>
      <c r="BE133" s="36">
        <f t="shared" si="779"/>
        <v>497424.70038400008</v>
      </c>
      <c r="BF133" s="134">
        <f>BF134</f>
        <v>409029.89990399999</v>
      </c>
      <c r="BG133" s="134">
        <f t="shared" si="753"/>
        <v>34085.824992000002</v>
      </c>
      <c r="BH133" s="36">
        <f>BH134</f>
        <v>32349.280000000002</v>
      </c>
      <c r="BI133" s="59">
        <f t="shared" si="754"/>
        <v>0.94905374910516116</v>
      </c>
      <c r="BJ133" s="36">
        <f>BJ134</f>
        <v>59172.76</v>
      </c>
      <c r="BK133" s="59">
        <f t="shared" si="754"/>
        <v>1.735993188191512</v>
      </c>
      <c r="BL133" s="36">
        <f>BL134</f>
        <v>23758.920000000002</v>
      </c>
      <c r="BM133" s="59">
        <f t="shared" ref="BM133" si="1454">BL133/$BG133</f>
        <v>0.69703227090957187</v>
      </c>
      <c r="BN133" s="36">
        <f>BN134</f>
        <v>46483.16</v>
      </c>
      <c r="BO133" s="59">
        <f t="shared" ref="BO133" si="1455">BN133/$BG133</f>
        <v>1.3637094015154299</v>
      </c>
      <c r="BP133" s="36">
        <f>BP134</f>
        <v>59613.569999999992</v>
      </c>
      <c r="BQ133" s="59">
        <f t="shared" ref="BQ133" si="1456">BP133/$BG133</f>
        <v>1.7489255435064692</v>
      </c>
      <c r="BR133" s="36">
        <f>BR134</f>
        <v>68467.12</v>
      </c>
      <c r="BS133" s="59">
        <f t="shared" ref="BS133" si="1457">BR133/$BG133</f>
        <v>2.0086684132207258</v>
      </c>
      <c r="BT133" s="36">
        <f>BT134</f>
        <v>142932.65</v>
      </c>
      <c r="BU133" s="59">
        <f t="shared" ref="BU133" si="1458">BT133/$BG133</f>
        <v>4.1933164309077604</v>
      </c>
      <c r="BV133" s="36">
        <f>BV134</f>
        <v>65336.65</v>
      </c>
      <c r="BW133" s="59">
        <f t="shared" ref="BW133" si="1459">BV133/$BG133</f>
        <v>1.9168275966720658</v>
      </c>
      <c r="BX133" s="36">
        <f>BX134</f>
        <v>49508.219999999994</v>
      </c>
      <c r="BY133" s="59">
        <f t="shared" ref="BY133" si="1460">BX133/$BG133</f>
        <v>1.4524577302036743</v>
      </c>
      <c r="BZ133" s="36">
        <v>42960.4</v>
      </c>
      <c r="CA133" s="59">
        <f t="shared" ref="CA133" si="1461">BZ133/$BG133</f>
        <v>1.2603596952716525</v>
      </c>
      <c r="CB133" s="36">
        <f>CB134</f>
        <v>56964.56</v>
      </c>
      <c r="CC133" s="59">
        <f t="shared" ref="CC133" si="1462">CB133/$BG133</f>
        <v>1.6712096601261572</v>
      </c>
      <c r="CD133" s="36">
        <f>CD134</f>
        <v>68962.840000000011</v>
      </c>
      <c r="CE133" s="59">
        <f t="shared" ref="CE133" si="1463">CD133/$BG133</f>
        <v>2.0232117021132892</v>
      </c>
      <c r="CF133" s="36">
        <f>CF134</f>
        <v>710510.13</v>
      </c>
      <c r="CG133" s="59">
        <f t="shared" si="834"/>
        <v>1.7370615941933778</v>
      </c>
    </row>
    <row r="134" spans="1:85" ht="15.75" x14ac:dyDescent="0.25">
      <c r="A134" s="41" t="s">
        <v>96</v>
      </c>
      <c r="B134" s="42">
        <v>392072.39635</v>
      </c>
      <c r="C134" s="42">
        <v>206058.62</v>
      </c>
      <c r="D134" s="43">
        <v>274744.82666666666</v>
      </c>
      <c r="E134" s="43">
        <v>376207.77399999998</v>
      </c>
      <c r="F134" s="43">
        <f t="shared" si="1184"/>
        <v>31350.647833333333</v>
      </c>
      <c r="G134" s="43">
        <f>SUM(G135:G148)</f>
        <v>23383.600000000002</v>
      </c>
      <c r="H134" s="60">
        <f t="shared" si="806"/>
        <v>0.7458729441353863</v>
      </c>
      <c r="I134" s="43">
        <f>SUM(I135:I148)</f>
        <v>57918.859999999993</v>
      </c>
      <c r="J134" s="60">
        <f t="shared" si="807"/>
        <v>1.8474533702751181</v>
      </c>
      <c r="K134" s="43">
        <f>SUM(K135:K148)</f>
        <v>58594.840000000004</v>
      </c>
      <c r="L134" s="60">
        <f t="shared" si="808"/>
        <v>1.869015285154634</v>
      </c>
      <c r="M134" s="43">
        <f>SUM(M135:M148)</f>
        <v>63139.560000000012</v>
      </c>
      <c r="N134" s="60">
        <f t="shared" si="809"/>
        <v>2.0139794346727142</v>
      </c>
      <c r="O134" s="66">
        <f>SUM(O135:O148)</f>
        <v>62988.330000000009</v>
      </c>
      <c r="P134" s="60">
        <f t="shared" si="790"/>
        <v>2.0091556109098376</v>
      </c>
      <c r="Q134" s="66">
        <f>SUM(Q135:Q148)</f>
        <v>83349</v>
      </c>
      <c r="R134" s="60">
        <f t="shared" si="1352"/>
        <v>2.6586053482244099</v>
      </c>
      <c r="S134" s="66">
        <f>SUM(S135:S148)</f>
        <v>21803.97</v>
      </c>
      <c r="T134" s="60">
        <f t="shared" si="1339"/>
        <v>0.69548706348635958</v>
      </c>
      <c r="U134" s="66">
        <f>SUM(U135:U148)</f>
        <v>48830.770000000004</v>
      </c>
      <c r="V134" s="60">
        <f t="shared" si="1340"/>
        <v>1.5575681325500734</v>
      </c>
      <c r="W134" s="66">
        <f>SUM(W135:W148)</f>
        <v>53943.86</v>
      </c>
      <c r="X134" s="60">
        <f t="shared" si="881"/>
        <v>1.720661731992811</v>
      </c>
      <c r="Y134" s="43">
        <f t="shared" si="791"/>
        <v>473952.79000000004</v>
      </c>
      <c r="Z134" s="60">
        <f t="shared" si="810"/>
        <v>1.2598165767834453</v>
      </c>
      <c r="AA134" s="43">
        <f t="shared" si="792"/>
        <v>52661.421111111114</v>
      </c>
      <c r="AB134" s="43">
        <f>SUM(AB135:AB148)</f>
        <v>40188.198766666668</v>
      </c>
      <c r="AD134" s="69"/>
      <c r="AG134" s="43">
        <f>SUM(AG135:AG148)</f>
        <v>15820.53</v>
      </c>
      <c r="AH134" s="60">
        <f t="shared" si="765"/>
        <v>0.39366108672484312</v>
      </c>
      <c r="AI134" s="43">
        <f>SUM(AI135:AI148)</f>
        <v>20122.509999999998</v>
      </c>
      <c r="AJ134" s="60">
        <f t="shared" ref="AJ134" si="1464">AI134/$AB134</f>
        <v>0.5007069392891087</v>
      </c>
      <c r="AK134" s="43">
        <f>SUM(AK135:AK148)</f>
        <v>0</v>
      </c>
      <c r="AL134" s="60">
        <f t="shared" si="1266"/>
        <v>0</v>
      </c>
      <c r="AM134" s="43">
        <f>SUM(AM135:AM148)</f>
        <v>22464.420000000002</v>
      </c>
      <c r="AN134" s="60">
        <f t="shared" si="1267"/>
        <v>0.5589805139172519</v>
      </c>
      <c r="AO134" s="43">
        <f>SUM(AO135:AO148)</f>
        <v>18452.32</v>
      </c>
      <c r="AP134" s="60">
        <f t="shared" si="1268"/>
        <v>0.4591477241150933</v>
      </c>
      <c r="AQ134" s="43">
        <f>SUM(AQ135:AQ148)</f>
        <v>14222.41</v>
      </c>
      <c r="AR134" s="60">
        <f t="shared" si="1269"/>
        <v>0.35389518407071546</v>
      </c>
      <c r="AS134" s="43">
        <f>SUM(AS135:AS148)</f>
        <v>19077.650000000001</v>
      </c>
      <c r="AT134" s="60">
        <f t="shared" si="1314"/>
        <v>0.47470776460435926</v>
      </c>
      <c r="AU134" s="43">
        <f>SUM(AU135:AU148)</f>
        <v>14981.560000000001</v>
      </c>
      <c r="AV134" s="60">
        <f t="shared" si="1315"/>
        <v>0.37278505779726984</v>
      </c>
      <c r="AW134" s="43">
        <f>SUM(AW135:AW148)</f>
        <v>20510.339999999997</v>
      </c>
      <c r="AX134" s="60">
        <f t="shared" si="1316"/>
        <v>0.51035728471144881</v>
      </c>
      <c r="AY134" s="43">
        <f>SUM(AY135:AY148)</f>
        <v>39380.17</v>
      </c>
      <c r="AZ134" s="60">
        <f t="shared" si="1317"/>
        <v>0.9798938795102986</v>
      </c>
      <c r="BA134" s="43">
        <f t="shared" si="794"/>
        <v>185031.90999999997</v>
      </c>
      <c r="BB134" s="60">
        <f t="shared" si="795"/>
        <v>0.38367795289503237</v>
      </c>
      <c r="BC134" s="43">
        <f t="shared" si="778"/>
        <v>20559.101111111107</v>
      </c>
      <c r="BD134" s="43">
        <f>SUM(BD135:BD148)</f>
        <v>41452.058365333338</v>
      </c>
      <c r="BE134" s="43">
        <f t="shared" si="779"/>
        <v>497424.70038400008</v>
      </c>
      <c r="BF134" s="136">
        <f>SUM(BF135:BF148)</f>
        <v>409029.89990399999</v>
      </c>
      <c r="BG134" s="136">
        <f t="shared" si="753"/>
        <v>34085.824992000002</v>
      </c>
      <c r="BH134" s="43">
        <f>SUM(BH135:BH148)</f>
        <v>32349.280000000002</v>
      </c>
      <c r="BI134" s="60">
        <f t="shared" si="754"/>
        <v>0.94905374910516116</v>
      </c>
      <c r="BJ134" s="43">
        <f>SUM(BJ135:BJ148)</f>
        <v>59172.76</v>
      </c>
      <c r="BK134" s="60">
        <f t="shared" si="754"/>
        <v>1.735993188191512</v>
      </c>
      <c r="BL134" s="43">
        <f>SUM(BL135:BL148)</f>
        <v>23758.920000000002</v>
      </c>
      <c r="BM134" s="60">
        <f t="shared" ref="BM134" si="1465">BL134/$BG134</f>
        <v>0.69703227090957187</v>
      </c>
      <c r="BN134" s="43">
        <f>SUM(BN135:BN148)</f>
        <v>46483.16</v>
      </c>
      <c r="BO134" s="60">
        <f t="shared" ref="BO134" si="1466">BN134/$BG134</f>
        <v>1.3637094015154299</v>
      </c>
      <c r="BP134" s="43">
        <f>SUM(BP135:BP148)</f>
        <v>59613.569999999992</v>
      </c>
      <c r="BQ134" s="60">
        <f t="shared" ref="BQ134" si="1467">BP134/$BG134</f>
        <v>1.7489255435064692</v>
      </c>
      <c r="BR134" s="43">
        <f>SUM(BR135:BR148)</f>
        <v>68467.12</v>
      </c>
      <c r="BS134" s="60">
        <f t="shared" ref="BS134" si="1468">BR134/$BG134</f>
        <v>2.0086684132207258</v>
      </c>
      <c r="BT134" s="43">
        <f>SUM(BT135:BT148)</f>
        <v>142932.65</v>
      </c>
      <c r="BU134" s="60">
        <f t="shared" ref="BU134" si="1469">BT134/$BG134</f>
        <v>4.1933164309077604</v>
      </c>
      <c r="BV134" s="43">
        <f>SUM(BV135:BV148)</f>
        <v>65336.65</v>
      </c>
      <c r="BW134" s="60">
        <f t="shared" ref="BW134" si="1470">BV134/$BG134</f>
        <v>1.9168275966720658</v>
      </c>
      <c r="BX134" s="43">
        <f>SUM(BX135:BX148)</f>
        <v>49508.219999999994</v>
      </c>
      <c r="BY134" s="60">
        <f t="shared" ref="BY134" si="1471">BX134/$BG134</f>
        <v>1.4524577302036743</v>
      </c>
      <c r="BZ134" s="43">
        <v>42960.4</v>
      </c>
      <c r="CA134" s="60">
        <f t="shared" ref="CA134" si="1472">BZ134/$BG134</f>
        <v>1.2603596952716525</v>
      </c>
      <c r="CB134" s="43">
        <f>SUM(CB135:CB148)</f>
        <v>56964.56</v>
      </c>
      <c r="CC134" s="60">
        <f t="shared" ref="CC134" si="1473">CB134/$BG134</f>
        <v>1.6712096601261572</v>
      </c>
      <c r="CD134" s="43">
        <f>SUM(CD135:CD148)</f>
        <v>68962.840000000011</v>
      </c>
      <c r="CE134" s="60">
        <f t="shared" ref="CE134" si="1474">CD134/$BG134</f>
        <v>2.0232117021132892</v>
      </c>
      <c r="CF134" s="43">
        <f>SUM(CF135:CF148)</f>
        <v>710510.13</v>
      </c>
      <c r="CG134" s="60">
        <f t="shared" si="834"/>
        <v>1.7370615941933778</v>
      </c>
    </row>
    <row r="135" spans="1:85" ht="15.75" x14ac:dyDescent="0.25">
      <c r="A135" s="44" t="s">
        <v>83</v>
      </c>
      <c r="B135" s="25">
        <v>36000</v>
      </c>
      <c r="C135" s="48">
        <v>12109.23</v>
      </c>
      <c r="D135" s="48">
        <v>16145.64</v>
      </c>
      <c r="E135" s="49">
        <v>56376</v>
      </c>
      <c r="F135" s="49">
        <f t="shared" si="1184"/>
        <v>4698</v>
      </c>
      <c r="G135" s="49">
        <f>4497.24</f>
        <v>4497.24</v>
      </c>
      <c r="H135" s="58">
        <f t="shared" si="806"/>
        <v>0.95726692209450825</v>
      </c>
      <c r="I135" s="49">
        <f>9477.61-25.44</f>
        <v>9452.17</v>
      </c>
      <c r="J135" s="58">
        <f t="shared" si="807"/>
        <v>2.0119561515538527</v>
      </c>
      <c r="K135" s="49">
        <v>4386.99</v>
      </c>
      <c r="L135" s="58">
        <f t="shared" si="808"/>
        <v>0.93379948914431665</v>
      </c>
      <c r="M135" s="49">
        <f>5374.55</f>
        <v>5374.55</v>
      </c>
      <c r="N135" s="58">
        <f t="shared" si="809"/>
        <v>1.1440080885483184</v>
      </c>
      <c r="O135" s="64">
        <f>4825.13</f>
        <v>4825.13</v>
      </c>
      <c r="P135" s="58">
        <f t="shared" si="790"/>
        <v>1.0270604512558537</v>
      </c>
      <c r="Q135" s="64">
        <f>4919.32+217</f>
        <v>5136.32</v>
      </c>
      <c r="R135" s="58">
        <f t="shared" si="1352"/>
        <v>1.093299276287782</v>
      </c>
      <c r="S135" s="64">
        <f>4578.44</f>
        <v>4578.4399999999996</v>
      </c>
      <c r="T135" s="58">
        <f t="shared" si="1339"/>
        <v>0.97455087271179219</v>
      </c>
      <c r="U135" s="64">
        <f>2684.13</f>
        <v>2684.13</v>
      </c>
      <c r="V135" s="58">
        <f t="shared" si="1340"/>
        <v>0.57133461047254153</v>
      </c>
      <c r="W135" s="64">
        <v>4456</v>
      </c>
      <c r="X135" s="58">
        <f t="shared" si="881"/>
        <v>0.94848871860366113</v>
      </c>
      <c r="Y135" s="49">
        <f t="shared" si="791"/>
        <v>45390.97</v>
      </c>
      <c r="Z135" s="58">
        <f t="shared" si="810"/>
        <v>0.80514704838938556</v>
      </c>
      <c r="AA135" s="49">
        <f t="shared" si="792"/>
        <v>5043.4411111111112</v>
      </c>
      <c r="AB135" s="49">
        <v>4890.1000000000004</v>
      </c>
      <c r="AD135" s="69">
        <f t="shared" si="847"/>
        <v>0.96959593505051778</v>
      </c>
      <c r="AG135" s="49">
        <v>4103.2299999999996</v>
      </c>
      <c r="AH135" s="58">
        <f t="shared" si="765"/>
        <v>0.83908918018036427</v>
      </c>
      <c r="AI135" s="49">
        <v>3298.98</v>
      </c>
      <c r="AJ135" s="58">
        <f t="shared" ref="AJ135" si="1475">AI135/$AB135</f>
        <v>0.67462424081307126</v>
      </c>
      <c r="AK135" s="49"/>
      <c r="AL135" s="58">
        <f t="shared" si="1266"/>
        <v>0</v>
      </c>
      <c r="AM135" s="49">
        <v>3810.21</v>
      </c>
      <c r="AN135" s="58">
        <f t="shared" si="1267"/>
        <v>0.77916811517146889</v>
      </c>
      <c r="AO135" s="49">
        <v>1263.3</v>
      </c>
      <c r="AP135" s="58">
        <f t="shared" si="1268"/>
        <v>0.25833827529089382</v>
      </c>
      <c r="AQ135" s="49">
        <f>3806.25</f>
        <v>3806.25</v>
      </c>
      <c r="AR135" s="58">
        <f t="shared" si="1269"/>
        <v>0.77835831578086334</v>
      </c>
      <c r="AS135" s="49">
        <v>3806.25</v>
      </c>
      <c r="AT135" s="58">
        <f t="shared" si="1314"/>
        <v>0.77835831578086334</v>
      </c>
      <c r="AU135" s="49">
        <f>3806.25</f>
        <v>3806.25</v>
      </c>
      <c r="AV135" s="58">
        <f t="shared" si="1315"/>
        <v>0.77835831578086334</v>
      </c>
      <c r="AW135" s="49">
        <v>4609</v>
      </c>
      <c r="AX135" s="58">
        <f t="shared" si="1316"/>
        <v>0.94251651295474526</v>
      </c>
      <c r="AY135" s="49">
        <f>5022.81</f>
        <v>5022.8100000000004</v>
      </c>
      <c r="AZ135" s="58">
        <f t="shared" si="1317"/>
        <v>1.0271385043250649</v>
      </c>
      <c r="BA135" s="49">
        <f t="shared" si="794"/>
        <v>33526.28</v>
      </c>
      <c r="BB135" s="58">
        <f t="shared" si="795"/>
        <v>0.57132914800651646</v>
      </c>
      <c r="BC135" s="49">
        <f t="shared" si="778"/>
        <v>3725.1422222222222</v>
      </c>
      <c r="BD135" s="49">
        <f>AB135*BA1</f>
        <v>5085.7040000000006</v>
      </c>
      <c r="BE135" s="49">
        <f t="shared" si="779"/>
        <v>61028.448000000004</v>
      </c>
      <c r="BF135" s="129">
        <v>61028.448000000004</v>
      </c>
      <c r="BG135" s="129">
        <f t="shared" si="753"/>
        <v>5085.7040000000006</v>
      </c>
      <c r="BH135" s="49">
        <v>4765</v>
      </c>
      <c r="BI135" s="58">
        <f t="shared" si="754"/>
        <v>0.93694009718221893</v>
      </c>
      <c r="BJ135" s="49">
        <f>6978.5+6286.78-4000</f>
        <v>9265.2799999999988</v>
      </c>
      <c r="BK135" s="58">
        <f t="shared" si="754"/>
        <v>1.8218284036978947</v>
      </c>
      <c r="BL135" s="49">
        <f>8000-4000</f>
        <v>4000</v>
      </c>
      <c r="BM135" s="58">
        <f t="shared" ref="BM135" si="1476">BL135/$BG135</f>
        <v>0.7865184446440453</v>
      </c>
      <c r="BN135" s="49">
        <f>8688.18-4000</f>
        <v>4688.18</v>
      </c>
      <c r="BO135" s="58">
        <f t="shared" ref="BO135" si="1477">BN135/$BG135</f>
        <v>0.92183501045283012</v>
      </c>
      <c r="BP135" s="49">
        <f>8817.95-4000</f>
        <v>4817.9500000000007</v>
      </c>
      <c r="BQ135" s="58">
        <f t="shared" ref="BQ135" si="1478">BP135/$BG135</f>
        <v>0.94735163509319464</v>
      </c>
      <c r="BR135" s="49">
        <f>8000-4000</f>
        <v>4000</v>
      </c>
      <c r="BS135" s="58">
        <f t="shared" ref="BS135" si="1479">BR135/$BG135</f>
        <v>0.7865184446440453</v>
      </c>
      <c r="BT135" s="49">
        <f>8838.51+10000</f>
        <v>18838.510000000002</v>
      </c>
      <c r="BU135" s="58">
        <f t="shared" ref="BU135" si="1480">BT135/$BG135</f>
        <v>3.7042088961528234</v>
      </c>
      <c r="BV135" s="49">
        <f>8000-4000</f>
        <v>4000</v>
      </c>
      <c r="BW135" s="58">
        <f t="shared" ref="BW135" si="1481">BV135/$BG135</f>
        <v>0.7865184446440453</v>
      </c>
      <c r="BX135" s="49">
        <f>8000-4000</f>
        <v>4000</v>
      </c>
      <c r="BY135" s="58">
        <f t="shared" ref="BY135" si="1482">BX135/$BG135</f>
        <v>0.7865184446440453</v>
      </c>
      <c r="BZ135" s="49">
        <v>4631.2700000000004</v>
      </c>
      <c r="CA135" s="58">
        <f t="shared" ref="CA135" si="1483">BZ135/$BG135</f>
        <v>0.91064481928165697</v>
      </c>
      <c r="CB135" s="49">
        <f>9653.44</f>
        <v>9653.44</v>
      </c>
      <c r="CC135" s="58">
        <f t="shared" ref="CC135" si="1484">CB135/$BG135</f>
        <v>1.8981521535661532</v>
      </c>
      <c r="CD135" s="49">
        <v>9054</v>
      </c>
      <c r="CE135" s="58">
        <f t="shared" ref="CE135" si="1485">CD135/$BG135</f>
        <v>1.7802844994517963</v>
      </c>
      <c r="CF135" s="49">
        <f t="shared" ref="CF135:CF148" si="1486">BH135+BJ135+BL135+BN135+BP135+BR135+BT135+BV135+BX135+BZ135+CB135+CD135</f>
        <v>81713.63</v>
      </c>
      <c r="CG135" s="58">
        <f t="shared" si="834"/>
        <v>1.3389432744545626</v>
      </c>
    </row>
    <row r="136" spans="1:85" ht="15.75" x14ac:dyDescent="0.25">
      <c r="A136" s="44" t="s">
        <v>93</v>
      </c>
      <c r="B136" s="25">
        <v>197280</v>
      </c>
      <c r="C136" s="48">
        <v>69377.25</v>
      </c>
      <c r="D136" s="48">
        <v>92503</v>
      </c>
      <c r="E136" s="49">
        <v>122203.12000000001</v>
      </c>
      <c r="F136" s="49">
        <f t="shared" si="1184"/>
        <v>10183.593333333334</v>
      </c>
      <c r="G136" s="49">
        <f>2229.52+5949.37</f>
        <v>8178.8899999999994</v>
      </c>
      <c r="H136" s="58">
        <f t="shared" si="806"/>
        <v>0.80314381498606568</v>
      </c>
      <c r="I136" s="49">
        <f>4945-2100-500+4897.25</f>
        <v>7242.25</v>
      </c>
      <c r="J136" s="58">
        <f t="shared" si="807"/>
        <v>0.71116842188644602</v>
      </c>
      <c r="K136" s="49">
        <f>3000+900+7183.35</f>
        <v>11083.35</v>
      </c>
      <c r="L136" s="58">
        <f t="shared" si="808"/>
        <v>1.0883535543118703</v>
      </c>
      <c r="M136" s="49">
        <f>18993+7712.84</f>
        <v>26705.84</v>
      </c>
      <c r="N136" s="58">
        <f t="shared" si="809"/>
        <v>2.6224377904590321</v>
      </c>
      <c r="O136" s="64">
        <f>22265+7659.05</f>
        <v>29924.05</v>
      </c>
      <c r="P136" s="58">
        <f t="shared" si="790"/>
        <v>2.9384568904623709</v>
      </c>
      <c r="Q136" s="64">
        <f>10265+7637.93</f>
        <v>17902.93</v>
      </c>
      <c r="R136" s="58">
        <f t="shared" si="1352"/>
        <v>1.7580169802538592</v>
      </c>
      <c r="S136" s="64">
        <f>18635+4832.6</f>
        <v>23467.599999999999</v>
      </c>
      <c r="T136" s="58">
        <f t="shared" si="1339"/>
        <v>2.3044518012306066</v>
      </c>
      <c r="U136" s="64">
        <f>8570+9992.9</f>
        <v>18562.900000000001</v>
      </c>
      <c r="V136" s="58">
        <f t="shared" si="1340"/>
        <v>1.8228241635729103</v>
      </c>
      <c r="W136" s="64">
        <f>13585-360+8658.74</f>
        <v>21883.739999999998</v>
      </c>
      <c r="X136" s="58">
        <f t="shared" si="881"/>
        <v>2.1489212386721381</v>
      </c>
      <c r="Y136" s="49">
        <f t="shared" si="791"/>
        <v>164951.54999999999</v>
      </c>
      <c r="Z136" s="58">
        <f t="shared" si="810"/>
        <v>1.3498145546529416</v>
      </c>
      <c r="AA136" s="49">
        <f t="shared" si="792"/>
        <v>18327.949999999997</v>
      </c>
      <c r="AB136" s="49">
        <f>AA136*$AC$8</f>
        <v>18877.788499999999</v>
      </c>
      <c r="AD136" s="69">
        <f t="shared" si="847"/>
        <v>1.03</v>
      </c>
      <c r="AG136" s="49">
        <f>3300+3142.85</f>
        <v>6442.85</v>
      </c>
      <c r="AH136" s="58">
        <f t="shared" si="765"/>
        <v>0.34129262545769068</v>
      </c>
      <c r="AI136" s="49">
        <v>1200</v>
      </c>
      <c r="AJ136" s="58">
        <f t="shared" ref="AJ136" si="1487">AI136/$AB136</f>
        <v>6.3566767897627413E-2</v>
      </c>
      <c r="AK136" s="49"/>
      <c r="AL136" s="58">
        <f t="shared" si="1266"/>
        <v>0</v>
      </c>
      <c r="AM136" s="49">
        <f>85.72</f>
        <v>85.72</v>
      </c>
      <c r="AN136" s="58">
        <f t="shared" si="1267"/>
        <v>4.5407861201538519E-3</v>
      </c>
      <c r="AO136" s="49">
        <f>27800+5840.78-23400</f>
        <v>10240.779999999999</v>
      </c>
      <c r="AP136" s="58">
        <f t="shared" si="1268"/>
        <v>0.54247773779222075</v>
      </c>
      <c r="AQ136" s="49">
        <v>8000</v>
      </c>
      <c r="AR136" s="58">
        <f t="shared" si="1269"/>
        <v>0.42377845265084946</v>
      </c>
      <c r="AS136" s="49">
        <v>12950</v>
      </c>
      <c r="AT136" s="58">
        <f t="shared" si="1314"/>
        <v>0.6859913702285626</v>
      </c>
      <c r="AU136" s="49">
        <v>8000</v>
      </c>
      <c r="AV136" s="58">
        <f t="shared" si="1315"/>
        <v>0.42377845265084946</v>
      </c>
      <c r="AW136" s="49">
        <v>3600</v>
      </c>
      <c r="AX136" s="58">
        <f t="shared" si="1316"/>
        <v>0.19070030369288227</v>
      </c>
      <c r="AY136" s="49">
        <f>32550-4500</f>
        <v>28050</v>
      </c>
      <c r="AZ136" s="58">
        <f t="shared" si="1317"/>
        <v>1.4858731996070409</v>
      </c>
      <c r="BA136" s="49">
        <f t="shared" si="794"/>
        <v>78569.350000000006</v>
      </c>
      <c r="BB136" s="58">
        <f t="shared" si="795"/>
        <v>0.34683330800815648</v>
      </c>
      <c r="BC136" s="49">
        <f t="shared" si="778"/>
        <v>8729.9277777777788</v>
      </c>
      <c r="BD136" s="49">
        <f>AB136*BA1</f>
        <v>19632.90004</v>
      </c>
      <c r="BE136" s="49">
        <f t="shared" si="779"/>
        <v>235594.80048000001</v>
      </c>
      <c r="BF136" s="129">
        <v>180000</v>
      </c>
      <c r="BG136" s="129">
        <f t="shared" si="753"/>
        <v>15000</v>
      </c>
      <c r="BH136" s="49">
        <v>9825</v>
      </c>
      <c r="BI136" s="58">
        <f t="shared" si="754"/>
        <v>0.65500000000000003</v>
      </c>
      <c r="BJ136" s="49">
        <v>9244.2999999999993</v>
      </c>
      <c r="BK136" s="58">
        <f t="shared" si="754"/>
        <v>0.61628666666666665</v>
      </c>
      <c r="BL136" s="49">
        <f>1530</f>
        <v>1530</v>
      </c>
      <c r="BM136" s="58">
        <f t="shared" ref="BM136" si="1488">BL136/$BG136</f>
        <v>0.10199999999999999</v>
      </c>
      <c r="BN136" s="49">
        <v>17554.79</v>
      </c>
      <c r="BO136" s="58">
        <f t="shared" ref="BO136" si="1489">BN136/$BG136</f>
        <v>1.1703193333333335</v>
      </c>
      <c r="BP136" s="49">
        <v>19140</v>
      </c>
      <c r="BQ136" s="58">
        <f t="shared" ref="BQ136" si="1490">BP136/$BG136</f>
        <v>1.276</v>
      </c>
      <c r="BR136" s="49">
        <v>12719.16</v>
      </c>
      <c r="BS136" s="58">
        <f t="shared" ref="BS136" si="1491">BR136/$BG136</f>
        <v>0.84794400000000003</v>
      </c>
      <c r="BT136" s="49">
        <v>27350</v>
      </c>
      <c r="BU136" s="58">
        <f t="shared" ref="BU136" si="1492">BT136/$BG136</f>
        <v>1.8233333333333333</v>
      </c>
      <c r="BV136" s="49">
        <v>20882.330000000002</v>
      </c>
      <c r="BW136" s="58">
        <f t="shared" ref="BW136" si="1493">BV136/$BG136</f>
        <v>1.3921553333333334</v>
      </c>
      <c r="BX136" s="49">
        <v>17180.86</v>
      </c>
      <c r="BY136" s="58">
        <f t="shared" ref="BY136" si="1494">BX136/$BG136</f>
        <v>1.1453906666666667</v>
      </c>
      <c r="BZ136" s="49">
        <v>11910</v>
      </c>
      <c r="CA136" s="58">
        <f t="shared" ref="CA136" si="1495">BZ136/$BG136</f>
        <v>0.79400000000000004</v>
      </c>
      <c r="CB136" s="49">
        <f>13393.5+1714.28</f>
        <v>15107.78</v>
      </c>
      <c r="CC136" s="58">
        <f t="shared" ref="CC136" si="1496">CB136/$BG136</f>
        <v>1.0071853333333334</v>
      </c>
      <c r="CD136" s="49">
        <v>24834.05</v>
      </c>
      <c r="CE136" s="58">
        <f t="shared" ref="CE136" si="1497">CD136/$BG136</f>
        <v>1.6556033333333333</v>
      </c>
      <c r="CF136" s="49">
        <f t="shared" si="1486"/>
        <v>187278.27</v>
      </c>
      <c r="CG136" s="58">
        <f t="shared" si="834"/>
        <v>1.0404348333333333</v>
      </c>
    </row>
    <row r="137" spans="1:85" ht="15.75" x14ac:dyDescent="0.25">
      <c r="A137" s="44" t="s">
        <v>38</v>
      </c>
      <c r="B137" s="25">
        <v>13680</v>
      </c>
      <c r="C137" s="48">
        <v>4185.2400000000007</v>
      </c>
      <c r="D137" s="48">
        <v>5580.3200000000015</v>
      </c>
      <c r="E137" s="49">
        <v>23114.16</v>
      </c>
      <c r="F137" s="49">
        <f t="shared" si="1184"/>
        <v>1926.18</v>
      </c>
      <c r="G137" s="49">
        <f>1143.01+358.61+45.72</f>
        <v>1547.34</v>
      </c>
      <c r="H137" s="58">
        <f t="shared" si="806"/>
        <v>0.80332056194125157</v>
      </c>
      <c r="I137" s="49">
        <f>2736.32+501.12+165.01</f>
        <v>3402.45</v>
      </c>
      <c r="J137" s="58">
        <f t="shared" si="807"/>
        <v>1.7664236987197457</v>
      </c>
      <c r="K137" s="49">
        <f>1298.84+407.48+50.94</f>
        <v>1757.26</v>
      </c>
      <c r="L137" s="58">
        <f t="shared" si="808"/>
        <v>0.91230310770540657</v>
      </c>
      <c r="M137" s="49">
        <f>1370.51+429.96+53.75</f>
        <v>1854.22</v>
      </c>
      <c r="N137" s="58">
        <f t="shared" si="809"/>
        <v>0.96264108234952084</v>
      </c>
      <c r="O137" s="64">
        <f>1230.4+386.01+48.25</f>
        <v>1664.66</v>
      </c>
      <c r="P137" s="58">
        <f t="shared" si="790"/>
        <v>0.86422868060098224</v>
      </c>
      <c r="Q137" s="64">
        <f>1309.75+410.91+51.36</f>
        <v>1772.02</v>
      </c>
      <c r="R137" s="58">
        <f t="shared" si="1352"/>
        <v>0.91996594295444867</v>
      </c>
      <c r="S137" s="64">
        <f>1275.57+400.18+50.02+47.96</f>
        <v>1773.73</v>
      </c>
      <c r="T137" s="58">
        <f t="shared" si="1339"/>
        <v>0.92085371045281328</v>
      </c>
      <c r="U137" s="64">
        <f>1386.87+435.1+54.39</f>
        <v>1876.36</v>
      </c>
      <c r="V137" s="58">
        <f t="shared" si="1340"/>
        <v>0.97413533522308393</v>
      </c>
      <c r="W137" s="64">
        <f>1136.28+356.48+44.56</f>
        <v>1537.32</v>
      </c>
      <c r="X137" s="58">
        <f t="shared" si="881"/>
        <v>0.79811855589820258</v>
      </c>
      <c r="Y137" s="49">
        <f t="shared" si="791"/>
        <v>17185.36</v>
      </c>
      <c r="Z137" s="58">
        <f t="shared" si="810"/>
        <v>0.74349922298712134</v>
      </c>
      <c r="AA137" s="49">
        <f t="shared" si="792"/>
        <v>1909.4844444444445</v>
      </c>
      <c r="AB137" s="49">
        <v>2273.89</v>
      </c>
      <c r="AD137" s="69">
        <f t="shared" si="847"/>
        <v>1.1908397612851869</v>
      </c>
      <c r="AG137" s="49">
        <f>1360.66+397.57+49.7</f>
        <v>1807.93</v>
      </c>
      <c r="AH137" s="58">
        <f t="shared" si="765"/>
        <v>0.7950824358258316</v>
      </c>
      <c r="AI137" s="49">
        <f>1555.59+454.53+56.82</f>
        <v>2066.94</v>
      </c>
      <c r="AJ137" s="58">
        <f t="shared" ref="AJ137" si="1498">AI137/$AB137</f>
        <v>0.90898856145196127</v>
      </c>
      <c r="AK137" s="49"/>
      <c r="AL137" s="58">
        <f t="shared" si="1266"/>
        <v>0</v>
      </c>
      <c r="AM137" s="49">
        <f>1525.5+445.74+55.72</f>
        <v>2026.96</v>
      </c>
      <c r="AN137" s="58">
        <f t="shared" si="1267"/>
        <v>0.89140635650801059</v>
      </c>
      <c r="AO137" s="49">
        <f>1576.51-129.56+460.64+57.58</f>
        <v>1965.17</v>
      </c>
      <c r="AP137" s="58">
        <f t="shared" si="1268"/>
        <v>0.8642326585718747</v>
      </c>
      <c r="AQ137" s="49">
        <f>946.43+276.54+345.68</f>
        <v>1568.65</v>
      </c>
      <c r="AR137" s="58">
        <f t="shared" si="1269"/>
        <v>0.68985307116879013</v>
      </c>
      <c r="AS137" s="49">
        <f>946.43+276.54+34.57-311.11</f>
        <v>946.43</v>
      </c>
      <c r="AT137" s="58">
        <f t="shared" si="1314"/>
        <v>0.41621626375946064</v>
      </c>
      <c r="AU137" s="49">
        <f>946.43+276.54+34.57</f>
        <v>1257.54</v>
      </c>
      <c r="AV137" s="58">
        <f t="shared" si="1315"/>
        <v>0.55303466746412533</v>
      </c>
      <c r="AW137" s="49">
        <f>1261.91+368.72+46.09</f>
        <v>1676.72</v>
      </c>
      <c r="AX137" s="58">
        <f t="shared" si="1316"/>
        <v>0.73737955661883381</v>
      </c>
      <c r="AY137" s="49">
        <f>1375.21+401.82+50.23</f>
        <v>1827.26</v>
      </c>
      <c r="AZ137" s="58">
        <f t="shared" si="1317"/>
        <v>0.80358328679047808</v>
      </c>
      <c r="BA137" s="49">
        <f t="shared" si="794"/>
        <v>15143.599999999999</v>
      </c>
      <c r="BB137" s="58">
        <f t="shared" si="795"/>
        <v>0.55498140484661374</v>
      </c>
      <c r="BC137" s="49">
        <f t="shared" si="778"/>
        <v>1682.622222222222</v>
      </c>
      <c r="BD137" s="49">
        <f>AB137*BA1</f>
        <v>2364.8456000000001</v>
      </c>
      <c r="BE137" s="49">
        <f t="shared" si="779"/>
        <v>28378.147199999999</v>
      </c>
      <c r="BF137" s="129">
        <v>28378.147199999999</v>
      </c>
      <c r="BG137" s="129">
        <f t="shared" ref="BG137:BG161" si="1499">BF137/12</f>
        <v>2364.8456000000001</v>
      </c>
      <c r="BH137" s="49">
        <f>1306.32+381.2+47.65</f>
        <v>1735.17</v>
      </c>
      <c r="BI137" s="58">
        <f t="shared" ref="BI137:BK161" si="1500">BH137/$BG137</f>
        <v>0.73373500578642425</v>
      </c>
      <c r="BJ137" s="49">
        <f>2130.86+9275.53+77.73</f>
        <v>11484.12</v>
      </c>
      <c r="BK137" s="58">
        <f t="shared" si="1500"/>
        <v>4.8561817312724349</v>
      </c>
      <c r="BL137" s="49">
        <f>2193.2+640+80</f>
        <v>2913.2</v>
      </c>
      <c r="BM137" s="58">
        <f t="shared" ref="BM137" si="1501">BL137/$BG137</f>
        <v>1.2318774637972134</v>
      </c>
      <c r="BN137" s="49">
        <f>4026.76+1175.05+200.84</f>
        <v>5402.6500000000005</v>
      </c>
      <c r="BO137" s="58">
        <f t="shared" ref="BO137" si="1502">BN137/$BG137</f>
        <v>2.2845677535987976</v>
      </c>
      <c r="BP137" s="49">
        <f>2417.43+705.44+164.43</f>
        <v>3287.2999999999997</v>
      </c>
      <c r="BQ137" s="58">
        <f t="shared" ref="BQ137" si="1503">BP137/$BG137</f>
        <v>1.3900696096184881</v>
      </c>
      <c r="BR137" s="49">
        <f>2193.2+640+208.91</f>
        <v>3042.1099999999997</v>
      </c>
      <c r="BS137" s="58">
        <f t="shared" ref="BS137" si="1504">BR137/$BG137</f>
        <v>1.286388422144769</v>
      </c>
      <c r="BT137" s="49">
        <f>2423.07+707.08+197.12</f>
        <v>3327.27</v>
      </c>
      <c r="BU137" s="58">
        <f t="shared" ref="BU137" si="1505">BT137/$BG137</f>
        <v>1.4069713473048726</v>
      </c>
      <c r="BV137" s="49">
        <f>640+159.54+2193.2</f>
        <v>2992.74</v>
      </c>
      <c r="BW137" s="58">
        <f t="shared" ref="BW137" si="1506">BV137/$BG137</f>
        <v>1.2655117949349419</v>
      </c>
      <c r="BX137" s="49">
        <f>2193.2+640+169.49</f>
        <v>3002.6899999999996</v>
      </c>
      <c r="BY137" s="58">
        <f t="shared" ref="BY137" si="1507">BX137/$BG137</f>
        <v>1.2697192577815648</v>
      </c>
      <c r="BZ137" s="49">
        <v>3342.41</v>
      </c>
      <c r="CA137" s="58">
        <f t="shared" ref="CA137" si="1508">BZ137/$BG137</f>
        <v>1.4133734566011411</v>
      </c>
      <c r="CB137" s="49">
        <f>2646.49+1096.5+182.03</f>
        <v>3925.02</v>
      </c>
      <c r="CC137" s="58">
        <f t="shared" ref="CC137" si="1509">CB137/$BG137</f>
        <v>1.659736263542956</v>
      </c>
      <c r="CD137" s="49">
        <f>4713.96+1051.37+432.85</f>
        <v>6198.18</v>
      </c>
      <c r="CE137" s="58">
        <f t="shared" ref="CE137" si="1510">CD137/$BG137</f>
        <v>2.6209660368524692</v>
      </c>
      <c r="CF137" s="49">
        <f t="shared" si="1486"/>
        <v>50652.86</v>
      </c>
      <c r="CG137" s="58">
        <f t="shared" si="834"/>
        <v>1.7849248452696729</v>
      </c>
    </row>
    <row r="138" spans="1:85" ht="15.75" x14ac:dyDescent="0.25">
      <c r="A138" s="44" t="s">
        <v>85</v>
      </c>
      <c r="B138" s="25">
        <v>3000</v>
      </c>
      <c r="C138" s="26"/>
      <c r="D138" s="26"/>
      <c r="E138" s="25">
        <v>9000</v>
      </c>
      <c r="F138" s="25">
        <f t="shared" si="1184"/>
        <v>750</v>
      </c>
      <c r="G138" s="25"/>
      <c r="H138" s="58">
        <f t="shared" si="806"/>
        <v>0</v>
      </c>
      <c r="I138" s="25"/>
      <c r="J138" s="58">
        <f t="shared" si="807"/>
        <v>0</v>
      </c>
      <c r="K138" s="25"/>
      <c r="L138" s="58">
        <f t="shared" si="808"/>
        <v>0</v>
      </c>
      <c r="M138" s="25"/>
      <c r="N138" s="58">
        <f t="shared" si="809"/>
        <v>0</v>
      </c>
      <c r="O138" s="64"/>
      <c r="P138" s="58">
        <f t="shared" si="790"/>
        <v>0</v>
      </c>
      <c r="Q138" s="64"/>
      <c r="R138" s="58">
        <f t="shared" si="1352"/>
        <v>0</v>
      </c>
      <c r="S138" s="64">
        <f>117.95</f>
        <v>117.95</v>
      </c>
      <c r="T138" s="58">
        <f t="shared" si="1339"/>
        <v>0.15726666666666667</v>
      </c>
      <c r="U138" s="64"/>
      <c r="V138" s="58">
        <f t="shared" si="1340"/>
        <v>0</v>
      </c>
      <c r="W138" s="64"/>
      <c r="X138" s="58">
        <f t="shared" si="881"/>
        <v>0</v>
      </c>
      <c r="Y138" s="25">
        <f t="shared" si="791"/>
        <v>117.95</v>
      </c>
      <c r="Z138" s="58">
        <f t="shared" si="810"/>
        <v>1.3105555555555556E-2</v>
      </c>
      <c r="AA138" s="25">
        <f t="shared" si="792"/>
        <v>13.105555555555556</v>
      </c>
      <c r="AB138" s="49">
        <v>0</v>
      </c>
      <c r="AD138" s="69">
        <f t="shared" si="847"/>
        <v>0</v>
      </c>
      <c r="AG138" s="25"/>
      <c r="AH138" s="58" t="e">
        <f t="shared" ref="AH138:AH156" si="1511">AG138/$AB138</f>
        <v>#DIV/0!</v>
      </c>
      <c r="AI138" s="25"/>
      <c r="AJ138" s="58" t="e">
        <f t="shared" ref="AJ138" si="1512">AI138/$AB138</f>
        <v>#DIV/0!</v>
      </c>
      <c r="AK138" s="25"/>
      <c r="AL138" s="58" t="e">
        <f t="shared" si="1266"/>
        <v>#DIV/0!</v>
      </c>
      <c r="AM138" s="25"/>
      <c r="AN138" s="58" t="e">
        <f t="shared" si="1267"/>
        <v>#DIV/0!</v>
      </c>
      <c r="AO138" s="25"/>
      <c r="AP138" s="58" t="e">
        <f t="shared" si="1268"/>
        <v>#DIV/0!</v>
      </c>
      <c r="AQ138" s="25"/>
      <c r="AR138" s="58" t="e">
        <f t="shared" si="1269"/>
        <v>#DIV/0!</v>
      </c>
      <c r="AS138" s="25"/>
      <c r="AT138" s="58" t="e">
        <f t="shared" si="1314"/>
        <v>#DIV/0!</v>
      </c>
      <c r="AU138" s="25"/>
      <c r="AV138" s="58" t="e">
        <f t="shared" si="1315"/>
        <v>#DIV/0!</v>
      </c>
      <c r="AW138" s="25"/>
      <c r="AX138" s="58" t="e">
        <f t="shared" si="1316"/>
        <v>#DIV/0!</v>
      </c>
      <c r="AY138" s="25"/>
      <c r="AZ138" s="58" t="e">
        <f t="shared" si="1317"/>
        <v>#DIV/0!</v>
      </c>
      <c r="BA138" s="25">
        <f t="shared" si="794"/>
        <v>0</v>
      </c>
      <c r="BB138" s="58" t="e">
        <f t="shared" si="795"/>
        <v>#DIV/0!</v>
      </c>
      <c r="BC138" s="25">
        <f t="shared" si="778"/>
        <v>0</v>
      </c>
      <c r="BD138" s="25">
        <v>0</v>
      </c>
      <c r="BE138" s="25">
        <f t="shared" si="779"/>
        <v>0</v>
      </c>
      <c r="BF138" s="129">
        <v>0</v>
      </c>
      <c r="BG138" s="129">
        <f t="shared" si="1499"/>
        <v>0</v>
      </c>
      <c r="BH138" s="25"/>
      <c r="BI138" s="58"/>
      <c r="BJ138" s="25"/>
      <c r="BK138" s="58"/>
      <c r="BL138" s="25"/>
      <c r="BM138" s="58"/>
      <c r="BN138" s="25">
        <v>6000</v>
      </c>
      <c r="BO138" s="58"/>
      <c r="BP138" s="25"/>
      <c r="BQ138" s="58"/>
      <c r="BR138" s="25"/>
      <c r="BS138" s="58"/>
      <c r="BT138" s="25"/>
      <c r="BU138" s="58"/>
      <c r="BV138" s="25"/>
      <c r="BW138" s="58"/>
      <c r="BX138" s="25"/>
      <c r="BY138" s="58"/>
      <c r="BZ138" s="25"/>
      <c r="CA138" s="58"/>
      <c r="CB138" s="25"/>
      <c r="CC138" s="58"/>
      <c r="CD138" s="25"/>
      <c r="CE138" s="58"/>
      <c r="CF138" s="25"/>
      <c r="CG138" s="58">
        <v>0</v>
      </c>
    </row>
    <row r="139" spans="1:85" ht="15.75" x14ac:dyDescent="0.25">
      <c r="A139" s="44" t="s">
        <v>86</v>
      </c>
      <c r="B139" s="25">
        <v>1400</v>
      </c>
      <c r="C139" s="48">
        <v>15715.25</v>
      </c>
      <c r="D139" s="48">
        <v>20953.666666666668</v>
      </c>
      <c r="E139" s="49">
        <v>8700</v>
      </c>
      <c r="F139" s="49">
        <f t="shared" si="1184"/>
        <v>725</v>
      </c>
      <c r="G139" s="49">
        <f>74.65+586.27+196.5</f>
        <v>857.42</v>
      </c>
      <c r="H139" s="58">
        <f t="shared" si="806"/>
        <v>1.1826482758620689</v>
      </c>
      <c r="I139" s="49">
        <f>6768.3+586.27+196.5</f>
        <v>7551.07</v>
      </c>
      <c r="J139" s="58">
        <f t="shared" si="807"/>
        <v>10.415268965517241</v>
      </c>
      <c r="K139" s="49">
        <f>706.55-15.87-5.35</f>
        <v>685.32999999999993</v>
      </c>
      <c r="L139" s="58">
        <f t="shared" si="808"/>
        <v>0.94528275862068956</v>
      </c>
      <c r="M139" s="49">
        <f>597.17+200.05</f>
        <v>797.22</v>
      </c>
      <c r="N139" s="58">
        <f t="shared" si="809"/>
        <v>1.0996137931034484</v>
      </c>
      <c r="O139" s="64">
        <f>536.13+179.6</f>
        <v>715.73</v>
      </c>
      <c r="P139" s="58">
        <f t="shared" si="790"/>
        <v>0.98721379310344826</v>
      </c>
      <c r="Q139" s="64">
        <f>645.36+216.21</f>
        <v>861.57</v>
      </c>
      <c r="R139" s="58">
        <f t="shared" si="1352"/>
        <v>1.1883724137931035</v>
      </c>
      <c r="S139" s="64">
        <f>423.79+39.5</f>
        <v>463.29</v>
      </c>
      <c r="T139" s="58">
        <f t="shared" si="1339"/>
        <v>0.63902068965517245</v>
      </c>
      <c r="U139" s="64">
        <f>2754.59-2241.8-751.01</f>
        <v>-238.22000000000003</v>
      </c>
      <c r="V139" s="58">
        <f t="shared" si="1340"/>
        <v>-0.32857931034482762</v>
      </c>
      <c r="W139" s="64">
        <f>495.11+165.86</f>
        <v>660.97</v>
      </c>
      <c r="X139" s="58">
        <f t="shared" si="881"/>
        <v>0.9116827586206897</v>
      </c>
      <c r="Y139" s="49">
        <f t="shared" si="791"/>
        <v>12354.38</v>
      </c>
      <c r="Z139" s="58">
        <f t="shared" si="810"/>
        <v>1.4200436781609194</v>
      </c>
      <c r="AA139" s="49">
        <f t="shared" si="792"/>
        <v>1372.7088888888889</v>
      </c>
      <c r="AB139" s="49">
        <v>736.23</v>
      </c>
      <c r="AD139" s="69">
        <f t="shared" si="847"/>
        <v>0.53633367275411636</v>
      </c>
      <c r="AG139" s="49">
        <v>866.41</v>
      </c>
      <c r="AH139" s="58">
        <f t="shared" si="1511"/>
        <v>1.1768197438300529</v>
      </c>
      <c r="AI139" s="49">
        <v>2382.63</v>
      </c>
      <c r="AJ139" s="58">
        <f t="shared" ref="AJ139" si="1513">AI139/$AB139</f>
        <v>3.2362576912106271</v>
      </c>
      <c r="AK139" s="49"/>
      <c r="AL139" s="58">
        <f t="shared" si="1266"/>
        <v>0</v>
      </c>
      <c r="AM139" s="49">
        <v>1761.55</v>
      </c>
      <c r="AN139" s="58">
        <f t="shared" si="1267"/>
        <v>2.392662619018513</v>
      </c>
      <c r="AO139" s="49">
        <v>4844.21</v>
      </c>
      <c r="AP139" s="58">
        <f t="shared" si="1268"/>
        <v>6.5797508930633093</v>
      </c>
      <c r="AQ139" s="49"/>
      <c r="AR139" s="58">
        <f t="shared" si="1269"/>
        <v>0</v>
      </c>
      <c r="AS139" s="49"/>
      <c r="AT139" s="58">
        <f t="shared" si="1314"/>
        <v>0</v>
      </c>
      <c r="AU139" s="49"/>
      <c r="AV139" s="58">
        <f t="shared" si="1315"/>
        <v>0</v>
      </c>
      <c r="AW139" s="49"/>
      <c r="AX139" s="58">
        <f t="shared" si="1316"/>
        <v>0</v>
      </c>
      <c r="AY139" s="49"/>
      <c r="AZ139" s="58">
        <f t="shared" si="1317"/>
        <v>0</v>
      </c>
      <c r="BA139" s="49">
        <f t="shared" si="794"/>
        <v>9854.7999999999993</v>
      </c>
      <c r="BB139" s="58">
        <f t="shared" si="795"/>
        <v>1.115457578926875</v>
      </c>
      <c r="BC139" s="49">
        <f t="shared" ref="BC139:BC160" si="1514">BA139/9</f>
        <v>1094.9777777777776</v>
      </c>
      <c r="BD139" s="49">
        <f>(BA139*1.04)/12</f>
        <v>854.08266666666668</v>
      </c>
      <c r="BE139" s="49">
        <f t="shared" ref="BE139:BE160" si="1515">BD139*12</f>
        <v>10248.992</v>
      </c>
      <c r="BF139" s="129">
        <v>10248.992</v>
      </c>
      <c r="BG139" s="129">
        <f t="shared" si="1499"/>
        <v>854.08266666666668</v>
      </c>
      <c r="BH139" s="49"/>
      <c r="BI139" s="58">
        <f t="shared" si="1500"/>
        <v>0</v>
      </c>
      <c r="BJ139" s="49">
        <v>5913.16</v>
      </c>
      <c r="BK139" s="58">
        <f t="shared" si="1500"/>
        <v>6.9234047601949538</v>
      </c>
      <c r="BL139" s="49"/>
      <c r="BM139" s="58">
        <f t="shared" ref="BM139" si="1516">BL139/$BG139</f>
        <v>0</v>
      </c>
      <c r="BN139" s="49"/>
      <c r="BO139" s="58">
        <f t="shared" ref="BO139" si="1517">BN139/$BG139</f>
        <v>0</v>
      </c>
      <c r="BP139" s="49"/>
      <c r="BQ139" s="58">
        <f t="shared" ref="BQ139" si="1518">BP139/$BG139</f>
        <v>0</v>
      </c>
      <c r="BR139" s="49"/>
      <c r="BS139" s="58">
        <f t="shared" ref="BS139" si="1519">BR139/$BG139</f>
        <v>0</v>
      </c>
      <c r="BT139" s="49"/>
      <c r="BU139" s="58">
        <f t="shared" ref="BU139" si="1520">BT139/$BG139</f>
        <v>0</v>
      </c>
      <c r="BV139" s="49"/>
      <c r="BW139" s="58">
        <f t="shared" ref="BW139" si="1521">BV139/$BG139</f>
        <v>0</v>
      </c>
      <c r="BX139" s="49"/>
      <c r="BY139" s="58">
        <f t="shared" ref="BY139" si="1522">BX139/$BG139</f>
        <v>0</v>
      </c>
      <c r="BZ139" s="49"/>
      <c r="CA139" s="58">
        <f t="shared" ref="CA139" si="1523">BZ139/$BG139</f>
        <v>0</v>
      </c>
      <c r="CB139" s="49"/>
      <c r="CC139" s="58">
        <f t="shared" ref="CC139" si="1524">CB139/$BG139</f>
        <v>0</v>
      </c>
      <c r="CD139" s="49"/>
      <c r="CE139" s="58">
        <f t="shared" ref="CE139" si="1525">CD139/$BG139</f>
        <v>0</v>
      </c>
      <c r="CF139" s="49">
        <f t="shared" si="1486"/>
        <v>5913.16</v>
      </c>
      <c r="CG139" s="58">
        <f t="shared" si="834"/>
        <v>0.57695039668291281</v>
      </c>
    </row>
    <row r="140" spans="1:85" ht="15.75" x14ac:dyDescent="0.25">
      <c r="A140" s="44" t="s">
        <v>84</v>
      </c>
      <c r="B140" s="25">
        <v>4150</v>
      </c>
      <c r="C140" s="48">
        <v>6738</v>
      </c>
      <c r="D140" s="48">
        <v>8984</v>
      </c>
      <c r="E140" s="49">
        <v>7000</v>
      </c>
      <c r="F140" s="49">
        <f t="shared" si="1184"/>
        <v>583.33333333333337</v>
      </c>
      <c r="G140" s="49">
        <f>494.93+249.86</f>
        <v>744.79</v>
      </c>
      <c r="H140" s="58">
        <f t="shared" si="806"/>
        <v>1.276782857142857</v>
      </c>
      <c r="I140" s="49">
        <f>255.2+494.93+165.81</f>
        <v>915.94</v>
      </c>
      <c r="J140" s="58">
        <f t="shared" si="807"/>
        <v>1.5701828571428571</v>
      </c>
      <c r="K140" s="49">
        <v>629.04999999999995</v>
      </c>
      <c r="L140" s="58">
        <f t="shared" si="808"/>
        <v>1.0783714285714283</v>
      </c>
      <c r="M140" s="49">
        <f>409.11+137.05</f>
        <v>546.16000000000008</v>
      </c>
      <c r="N140" s="58">
        <f t="shared" si="809"/>
        <v>0.93627428571428584</v>
      </c>
      <c r="O140" s="64">
        <f>462.68+154.99</f>
        <v>617.67000000000007</v>
      </c>
      <c r="P140" s="58">
        <f t="shared" si="790"/>
        <v>1.0588628571428571</v>
      </c>
      <c r="Q140" s="64">
        <f>425.8+142.66</f>
        <v>568.46</v>
      </c>
      <c r="R140" s="58">
        <f t="shared" si="1352"/>
        <v>0.97450285714285712</v>
      </c>
      <c r="S140" s="64">
        <f>431.49+144.55</f>
        <v>576.04</v>
      </c>
      <c r="T140" s="58">
        <f t="shared" si="1339"/>
        <v>0.98749714285714274</v>
      </c>
      <c r="U140" s="64">
        <f>564-2+405.67+135.89</f>
        <v>1103.56</v>
      </c>
      <c r="V140" s="58">
        <f t="shared" si="1340"/>
        <v>1.8918171428571426</v>
      </c>
      <c r="W140" s="64">
        <f>381.4+127.77</f>
        <v>509.16999999999996</v>
      </c>
      <c r="X140" s="58">
        <f t="shared" si="881"/>
        <v>0.87286285714285705</v>
      </c>
      <c r="Y140" s="49">
        <f t="shared" si="791"/>
        <v>6210.84</v>
      </c>
      <c r="Z140" s="58">
        <f t="shared" si="810"/>
        <v>0.88726285714285713</v>
      </c>
      <c r="AA140" s="49">
        <f t="shared" si="792"/>
        <v>690.09333333333336</v>
      </c>
      <c r="AB140" s="49">
        <v>552.16999999999996</v>
      </c>
      <c r="AD140" s="69">
        <f t="shared" si="847"/>
        <v>0.80013814556485108</v>
      </c>
      <c r="AG140" s="49"/>
      <c r="AH140" s="58">
        <f t="shared" si="1511"/>
        <v>0</v>
      </c>
      <c r="AI140" s="49"/>
      <c r="AJ140" s="58">
        <f t="shared" ref="AJ140" si="1526">AI140/$AB140</f>
        <v>0</v>
      </c>
      <c r="AK140" s="49"/>
      <c r="AL140" s="58">
        <f t="shared" si="1266"/>
        <v>0</v>
      </c>
      <c r="AM140" s="49"/>
      <c r="AN140" s="58">
        <f t="shared" si="1267"/>
        <v>0</v>
      </c>
      <c r="AO140" s="49"/>
      <c r="AP140" s="58">
        <f t="shared" si="1268"/>
        <v>0</v>
      </c>
      <c r="AQ140" s="49"/>
      <c r="AR140" s="58">
        <f t="shared" si="1269"/>
        <v>0</v>
      </c>
      <c r="AS140" s="49"/>
      <c r="AT140" s="58">
        <f t="shared" si="1314"/>
        <v>0</v>
      </c>
      <c r="AU140" s="49"/>
      <c r="AV140" s="58">
        <f t="shared" si="1315"/>
        <v>0</v>
      </c>
      <c r="AW140" s="49"/>
      <c r="AX140" s="58">
        <f t="shared" si="1316"/>
        <v>0</v>
      </c>
      <c r="AY140" s="49"/>
      <c r="AZ140" s="58">
        <f t="shared" si="1317"/>
        <v>0</v>
      </c>
      <c r="BA140" s="49">
        <f t="shared" ref="BA140:BA160" si="1527">AG140+AI140+AK140+AM140+AO140+AQ140+AS140+AU140+AW140+AY140</f>
        <v>0</v>
      </c>
      <c r="BB140" s="58">
        <f t="shared" ref="BB140:BB160" si="1528">BA140/(AB140*12)</f>
        <v>0</v>
      </c>
      <c r="BC140" s="49">
        <f t="shared" si="1514"/>
        <v>0</v>
      </c>
      <c r="BD140" s="49">
        <f>AB140*BA1</f>
        <v>574.2568</v>
      </c>
      <c r="BE140" s="49">
        <f t="shared" si="1515"/>
        <v>6891.0815999999995</v>
      </c>
      <c r="BF140" s="129">
        <f>BE140</f>
        <v>6891.0815999999995</v>
      </c>
      <c r="BG140" s="129">
        <f t="shared" si="1499"/>
        <v>574.2568</v>
      </c>
      <c r="BH140" s="49"/>
      <c r="BI140" s="58">
        <f t="shared" si="1500"/>
        <v>0</v>
      </c>
      <c r="BJ140" s="49">
        <v>794.16</v>
      </c>
      <c r="BK140" s="58">
        <f t="shared" si="1500"/>
        <v>1.3829353000260509</v>
      </c>
      <c r="BL140" s="49"/>
      <c r="BM140" s="58">
        <f t="shared" ref="BM140" si="1529">BL140/$BG140</f>
        <v>0</v>
      </c>
      <c r="BN140" s="49"/>
      <c r="BO140" s="58">
        <f t="shared" ref="BO140" si="1530">BN140/$BG140</f>
        <v>0</v>
      </c>
      <c r="BP140" s="49"/>
      <c r="BQ140" s="58">
        <f t="shared" ref="BQ140" si="1531">BP140/$BG140</f>
        <v>0</v>
      </c>
      <c r="BR140" s="49"/>
      <c r="BS140" s="58">
        <f t="shared" ref="BS140" si="1532">BR140/$BG140</f>
        <v>0</v>
      </c>
      <c r="BT140" s="49"/>
      <c r="BU140" s="58">
        <f t="shared" ref="BU140" si="1533">BT140/$BG140</f>
        <v>0</v>
      </c>
      <c r="BV140" s="49"/>
      <c r="BW140" s="58">
        <f t="shared" ref="BW140" si="1534">BV140/$BG140</f>
        <v>0</v>
      </c>
      <c r="BX140" s="49"/>
      <c r="BY140" s="58">
        <f t="shared" ref="BY140" si="1535">BX140/$BG140</f>
        <v>0</v>
      </c>
      <c r="BZ140" s="49"/>
      <c r="CA140" s="58">
        <f t="shared" ref="CA140" si="1536">BZ140/$BG140</f>
        <v>0</v>
      </c>
      <c r="CB140" s="49"/>
      <c r="CC140" s="58">
        <f t="shared" ref="CC140" si="1537">CB140/$BG140</f>
        <v>0</v>
      </c>
      <c r="CD140" s="49">
        <v>8140.85</v>
      </c>
      <c r="CE140" s="58">
        <f t="shared" ref="CE140" si="1538">CD140/$BG140</f>
        <v>14.176323205924598</v>
      </c>
      <c r="CF140" s="49">
        <f t="shared" si="1486"/>
        <v>8935.01</v>
      </c>
      <c r="CG140" s="58">
        <f t="shared" si="834"/>
        <v>1.2966048754958874</v>
      </c>
    </row>
    <row r="141" spans="1:85" ht="15.75" x14ac:dyDescent="0.25">
      <c r="A141" s="44" t="s">
        <v>97</v>
      </c>
      <c r="B141" s="25">
        <v>6000</v>
      </c>
      <c r="C141" s="48">
        <v>1724.4699999999998</v>
      </c>
      <c r="D141" s="48">
        <v>2299.2933333333331</v>
      </c>
      <c r="E141" s="49">
        <v>7300</v>
      </c>
      <c r="F141" s="49">
        <f t="shared" si="1184"/>
        <v>608.33333333333337</v>
      </c>
      <c r="G141" s="49">
        <f>-4+216.52-4+47.97</f>
        <v>256.49</v>
      </c>
      <c r="H141" s="58">
        <f t="shared" si="806"/>
        <v>0.42162739726027398</v>
      </c>
      <c r="I141" s="49">
        <f>1128-4+108.26-4+46.91</f>
        <v>1275.17</v>
      </c>
      <c r="J141" s="58">
        <f t="shared" si="807"/>
        <v>2.0961698630136985</v>
      </c>
      <c r="K141" s="49">
        <v>128.27000000000001</v>
      </c>
      <c r="L141" s="58">
        <f t="shared" si="808"/>
        <v>0.21085479452054795</v>
      </c>
      <c r="M141" s="49">
        <f>634.61+947.5-2+108.6-2+47.96</f>
        <v>1734.67</v>
      </c>
      <c r="N141" s="58">
        <f t="shared" si="809"/>
        <v>2.8515123287671233</v>
      </c>
      <c r="O141" s="64">
        <f>108.6-2-2+47.96</f>
        <v>152.56</v>
      </c>
      <c r="P141" s="58">
        <f t="shared" si="790"/>
        <v>0.25078356164383558</v>
      </c>
      <c r="Q141" s="64">
        <f>1365-2+421.49-2+47.96</f>
        <v>1830.45</v>
      </c>
      <c r="R141" s="58">
        <f t="shared" si="1352"/>
        <v>3.0089589041095888</v>
      </c>
      <c r="S141" s="64">
        <f>894.5-2+108.6-2</f>
        <v>999.1</v>
      </c>
      <c r="T141" s="58">
        <f t="shared" si="1339"/>
        <v>1.6423561643835616</v>
      </c>
      <c r="U141" s="64">
        <f>564-2+108.6-2+47.96</f>
        <v>716.56000000000006</v>
      </c>
      <c r="V141" s="58">
        <f t="shared" si="1340"/>
        <v>1.1779068493150686</v>
      </c>
      <c r="W141" s="64">
        <f>596.5-2+108.6-2+47.96</f>
        <v>749.06000000000006</v>
      </c>
      <c r="X141" s="58">
        <f t="shared" si="881"/>
        <v>1.2313315068493151</v>
      </c>
      <c r="Y141" s="49">
        <f t="shared" si="791"/>
        <v>7842.3300000000017</v>
      </c>
      <c r="Z141" s="58">
        <f t="shared" si="810"/>
        <v>1.0742917808219181</v>
      </c>
      <c r="AA141" s="49">
        <f t="shared" si="792"/>
        <v>871.37000000000023</v>
      </c>
      <c r="AB141" s="49">
        <f>AA141*AC7</f>
        <v>906.2248000000003</v>
      </c>
      <c r="AD141" s="69">
        <f t="shared" si="847"/>
        <v>1.04</v>
      </c>
      <c r="AG141" s="49">
        <f>113.6-2+28.89+376-2</f>
        <v>514.49</v>
      </c>
      <c r="AH141" s="58">
        <f t="shared" si="1511"/>
        <v>0.56772889022679562</v>
      </c>
      <c r="AI141" s="49">
        <f>113.6-2+1647.5-2+30.17</f>
        <v>1787.27</v>
      </c>
      <c r="AJ141" s="58">
        <f t="shared" ref="AJ141" si="1539">AI141/$AB141</f>
        <v>1.9722148411740656</v>
      </c>
      <c r="AK141" s="49"/>
      <c r="AL141" s="58">
        <f t="shared" si="1266"/>
        <v>0</v>
      </c>
      <c r="AM141" s="49">
        <f>114.52-228.9+564-2+400</f>
        <v>847.62</v>
      </c>
      <c r="AN141" s="58">
        <f t="shared" si="1267"/>
        <v>0.93533083623401136</v>
      </c>
      <c r="AO141" s="49">
        <f>113.97-2+28.89-2</f>
        <v>138.86000000000001</v>
      </c>
      <c r="AP141" s="58">
        <f t="shared" si="1268"/>
        <v>0.15322908841161703</v>
      </c>
      <c r="AQ141" s="49">
        <f>113.97-2+28.89+399.5</f>
        <v>540.36</v>
      </c>
      <c r="AR141" s="58">
        <f t="shared" si="1269"/>
        <v>0.59627589092684274</v>
      </c>
      <c r="AS141" s="49">
        <f>113.97-2+28.89+446.5</f>
        <v>587.36</v>
      </c>
      <c r="AT141" s="58">
        <f t="shared" si="1314"/>
        <v>0.64813940205564868</v>
      </c>
      <c r="AU141" s="49">
        <f>113.97-2+28.89+564</f>
        <v>704.86</v>
      </c>
      <c r="AV141" s="58">
        <f t="shared" si="1315"/>
        <v>0.77779817987766364</v>
      </c>
      <c r="AW141" s="49">
        <f>113.97-2+26.26+564-2</f>
        <v>700.23</v>
      </c>
      <c r="AX141" s="58">
        <f t="shared" si="1316"/>
        <v>0.77268907229199624</v>
      </c>
      <c r="AY141" s="49">
        <f>126.6-2+26.26+587.5-2</f>
        <v>736.36</v>
      </c>
      <c r="AZ141" s="58">
        <f t="shared" si="1317"/>
        <v>0.81255776712356553</v>
      </c>
      <c r="BA141" s="49">
        <f t="shared" si="1527"/>
        <v>6557.4099999999989</v>
      </c>
      <c r="BB141" s="58">
        <f t="shared" si="1528"/>
        <v>0.60299699736018375</v>
      </c>
      <c r="BC141" s="49">
        <f t="shared" si="1514"/>
        <v>728.60111111111098</v>
      </c>
      <c r="BD141" s="49">
        <f>AB141*BA1</f>
        <v>942.47379200000034</v>
      </c>
      <c r="BE141" s="49">
        <f t="shared" si="1515"/>
        <v>11309.685504000005</v>
      </c>
      <c r="BF141" s="129">
        <v>11309.685504000005</v>
      </c>
      <c r="BG141" s="129">
        <f t="shared" si="1499"/>
        <v>942.47379200000034</v>
      </c>
      <c r="BH141" s="49">
        <f>117.89-2+32.34+517-2</f>
        <v>663.23</v>
      </c>
      <c r="BI141" s="58">
        <f t="shared" si="1500"/>
        <v>0.7037118757356382</v>
      </c>
      <c r="BJ141" s="49">
        <f>240.91+32.34+1369.1-8</f>
        <v>1634.35</v>
      </c>
      <c r="BK141" s="58">
        <f t="shared" si="1500"/>
        <v>1.7341065755598213</v>
      </c>
      <c r="BL141" s="49">
        <f>118.36-2+33.96+564-2</f>
        <v>712.31999999999994</v>
      </c>
      <c r="BM141" s="58">
        <f t="shared" ref="BM141" si="1540">BL141/$BG141</f>
        <v>0.75579820473140502</v>
      </c>
      <c r="BN141" s="49">
        <f>118.48+31.77+564-2</f>
        <v>712.25</v>
      </c>
      <c r="BO141" s="58">
        <f t="shared" ref="BO141" si="1541">BN141/$BG141</f>
        <v>0.75572393210908484</v>
      </c>
      <c r="BP141" s="49">
        <f>118.36-2+32.34+564-2</f>
        <v>710.7</v>
      </c>
      <c r="BQ141" s="58">
        <f t="shared" ref="BQ141" si="1542">BP141/$BG141</f>
        <v>0.75407932404342104</v>
      </c>
      <c r="BR141" s="49">
        <f>118.36-2+32.35+564-2</f>
        <v>710.71</v>
      </c>
      <c r="BS141" s="58">
        <f t="shared" ref="BS141" si="1543">BR141/$BG141</f>
        <v>0.75408993441803818</v>
      </c>
      <c r="BT141" s="49">
        <f>118.36-2+35.42+564-2</f>
        <v>713.78</v>
      </c>
      <c r="BU141" s="58">
        <f t="shared" ref="BU141" si="1544">BT141/$BG141</f>
        <v>0.75734731942551425</v>
      </c>
      <c r="BV141" s="49">
        <f>118.36-2+93.48+564-2</f>
        <v>771.84</v>
      </c>
      <c r="BW141" s="58">
        <f t="shared" ref="BW141" si="1545">BV141/$BG141</f>
        <v>0.81895115445289723</v>
      </c>
      <c r="BX141" s="49">
        <f>118.64-2+88.32+852-2</f>
        <v>1054.96</v>
      </c>
      <c r="BY141" s="58">
        <f t="shared" ref="BY141" si="1546">BX141/$BG141</f>
        <v>1.119352080614672</v>
      </c>
      <c r="BZ141" s="49">
        <v>1224.3399999999999</v>
      </c>
      <c r="CA141" s="58">
        <f t="shared" ref="CA141" si="1547">BZ141/$BG141</f>
        <v>1.2990706058805712</v>
      </c>
      <c r="CB141" s="49">
        <f>227.28-2+88.32+470-2+684</f>
        <v>1465.6</v>
      </c>
      <c r="CC141" s="58">
        <f t="shared" ref="CC141" si="1548">CB141/$BG141</f>
        <v>1.5550565038948048</v>
      </c>
      <c r="CD141" s="49">
        <f>157.35-2+88.32+572-2</f>
        <v>813.67</v>
      </c>
      <c r="CE141" s="58">
        <f t="shared" ref="CE141" si="1549">CD141/$BG141</f>
        <v>0.86333435147658688</v>
      </c>
      <c r="CF141" s="49">
        <f t="shared" si="1486"/>
        <v>11187.75</v>
      </c>
      <c r="CG141" s="58">
        <f t="shared" si="834"/>
        <v>0.98921848852853789</v>
      </c>
    </row>
    <row r="142" spans="1:85" ht="30" x14ac:dyDescent="0.25">
      <c r="A142" s="47" t="s">
        <v>98</v>
      </c>
      <c r="B142" s="25">
        <v>50000</v>
      </c>
      <c r="C142" s="26">
        <v>49947.069999999992</v>
      </c>
      <c r="D142" s="26">
        <v>66596.093333333323</v>
      </c>
      <c r="E142" s="49">
        <v>50000</v>
      </c>
      <c r="F142" s="49">
        <f t="shared" si="1184"/>
        <v>4166.666666666667</v>
      </c>
      <c r="G142" s="49">
        <f>1140.01+657.13</f>
        <v>1797.1399999999999</v>
      </c>
      <c r="H142" s="58">
        <f t="shared" si="806"/>
        <v>0.43131359999999996</v>
      </c>
      <c r="I142" s="49">
        <f>3565.7-287.02+876</f>
        <v>4154.68</v>
      </c>
      <c r="J142" s="58">
        <f t="shared" si="807"/>
        <v>0.99712319999999999</v>
      </c>
      <c r="K142" s="49">
        <f>1663.87+7883+900.9</f>
        <v>10447.769999999999</v>
      </c>
      <c r="L142" s="58">
        <f t="shared" si="808"/>
        <v>2.5074647999999993</v>
      </c>
      <c r="M142" s="49">
        <f>17159.58+2102</f>
        <v>19261.580000000002</v>
      </c>
      <c r="N142" s="58">
        <f t="shared" si="809"/>
        <v>4.6227792000000001</v>
      </c>
      <c r="O142" s="64">
        <f>4483.15+4740</f>
        <v>9223.15</v>
      </c>
      <c r="P142" s="58">
        <f t="shared" si="790"/>
        <v>2.2135559999999996</v>
      </c>
      <c r="Q142" s="64">
        <f>10227.5+15702.01</f>
        <v>25929.510000000002</v>
      </c>
      <c r="R142" s="58">
        <f t="shared" si="1352"/>
        <v>6.2230824</v>
      </c>
      <c r="S142" s="64">
        <f>11650.77</f>
        <v>11650.77</v>
      </c>
      <c r="T142" s="58">
        <f t="shared" si="1339"/>
        <v>2.7961847999999998</v>
      </c>
      <c r="U142" s="64">
        <f>11378.6+9602.67</f>
        <v>20981.27</v>
      </c>
      <c r="V142" s="58">
        <f t="shared" si="1340"/>
        <v>5.0355048</v>
      </c>
      <c r="W142" s="64">
        <f>2505+17436.85</f>
        <v>19941.849999999999</v>
      </c>
      <c r="X142" s="58">
        <f t="shared" si="881"/>
        <v>4.7860439999999995</v>
      </c>
      <c r="Y142" s="49">
        <f t="shared" si="791"/>
        <v>123387.72</v>
      </c>
      <c r="Z142" s="58">
        <f t="shared" si="810"/>
        <v>2.4677544</v>
      </c>
      <c r="AA142" s="49">
        <f t="shared" si="792"/>
        <v>13709.746666666666</v>
      </c>
      <c r="AB142" s="49">
        <v>5000</v>
      </c>
      <c r="AD142" s="69">
        <f t="shared" si="847"/>
        <v>0.36470404023998498</v>
      </c>
      <c r="AG142" s="49">
        <f>1191</f>
        <v>1191</v>
      </c>
      <c r="AH142" s="58">
        <f t="shared" si="1511"/>
        <v>0.2382</v>
      </c>
      <c r="AI142" s="49">
        <v>5802.8</v>
      </c>
      <c r="AJ142" s="58">
        <f t="shared" ref="AJ142" si="1550">AI142/$AB142</f>
        <v>1.16056</v>
      </c>
      <c r="AK142" s="49"/>
      <c r="AL142" s="58">
        <f t="shared" si="1266"/>
        <v>0</v>
      </c>
      <c r="AM142" s="49">
        <f>2479.54+8025.43</f>
        <v>10504.970000000001</v>
      </c>
      <c r="AN142" s="58">
        <f t="shared" si="1267"/>
        <v>2.100994</v>
      </c>
      <c r="AO142" s="49"/>
      <c r="AP142" s="58">
        <f t="shared" si="1268"/>
        <v>0</v>
      </c>
      <c r="AQ142" s="49"/>
      <c r="AR142" s="58">
        <f t="shared" si="1269"/>
        <v>0</v>
      </c>
      <c r="AS142" s="49"/>
      <c r="AT142" s="58">
        <f t="shared" si="1314"/>
        <v>0</v>
      </c>
      <c r="AU142" s="49"/>
      <c r="AV142" s="58">
        <f t="shared" si="1315"/>
        <v>0</v>
      </c>
      <c r="AW142" s="49">
        <v>960</v>
      </c>
      <c r="AX142" s="58">
        <f t="shared" si="1316"/>
        <v>0.192</v>
      </c>
      <c r="AY142" s="49">
        <f>1410</f>
        <v>1410</v>
      </c>
      <c r="AZ142" s="58">
        <f t="shared" si="1317"/>
        <v>0.28199999999999997</v>
      </c>
      <c r="BA142" s="49">
        <f t="shared" si="1527"/>
        <v>19868.77</v>
      </c>
      <c r="BB142" s="58">
        <f t="shared" si="1528"/>
        <v>0.33114616666666669</v>
      </c>
      <c r="BC142" s="49">
        <f t="shared" si="1514"/>
        <v>2207.6411111111111</v>
      </c>
      <c r="BD142" s="49">
        <f>AB142</f>
        <v>5000</v>
      </c>
      <c r="BE142" s="49">
        <f t="shared" si="1515"/>
        <v>60000</v>
      </c>
      <c r="BF142" s="129">
        <v>60000</v>
      </c>
      <c r="BG142" s="129">
        <f t="shared" si="1499"/>
        <v>5000</v>
      </c>
      <c r="BH142" s="49"/>
      <c r="BI142" s="58">
        <f t="shared" si="1500"/>
        <v>0</v>
      </c>
      <c r="BJ142" s="49">
        <v>9158.68</v>
      </c>
      <c r="BK142" s="58">
        <f t="shared" si="1500"/>
        <v>1.831736</v>
      </c>
      <c r="BL142" s="49">
        <f>100</f>
        <v>100</v>
      </c>
      <c r="BM142" s="58">
        <f t="shared" ref="BM142" si="1551">BL142/$BG142</f>
        <v>0.02</v>
      </c>
      <c r="BN142" s="49">
        <v>350</v>
      </c>
      <c r="BO142" s="58">
        <f t="shared" ref="BO142" si="1552">BN142/$BG142</f>
        <v>7.0000000000000007E-2</v>
      </c>
      <c r="BP142" s="49">
        <v>2750</v>
      </c>
      <c r="BQ142" s="58">
        <f t="shared" ref="BQ142" si="1553">BP142/$BG142</f>
        <v>0.55000000000000004</v>
      </c>
      <c r="BR142" s="49">
        <f>22751.15-1566.7+4000</f>
        <v>25184.45</v>
      </c>
      <c r="BS142" s="58">
        <f t="shared" ref="BS142" si="1554">BR142/$BG142</f>
        <v>5.0368900000000005</v>
      </c>
      <c r="BT142" s="49">
        <f>57135.84-692.7+9475.74</f>
        <v>65918.880000000005</v>
      </c>
      <c r="BU142" s="58">
        <f t="shared" ref="BU142" si="1555">BT142/$BG142</f>
        <v>13.183776000000002</v>
      </c>
      <c r="BV142" s="49">
        <f>25057.76+3019.72+800</f>
        <v>28877.48</v>
      </c>
      <c r="BW142" s="58">
        <f t="shared" ref="BW142" si="1556">BV142/$BG142</f>
        <v>5.7754959999999995</v>
      </c>
      <c r="BX142" s="49">
        <v>12594.26</v>
      </c>
      <c r="BY142" s="58">
        <f t="shared" ref="BY142" si="1557">BX142/$BG142</f>
        <v>2.5188519999999999</v>
      </c>
      <c r="BZ142" s="49">
        <v>11349.68</v>
      </c>
      <c r="CA142" s="58">
        <f t="shared" ref="CA142" si="1558">BZ142/$BG142</f>
        <v>2.269936</v>
      </c>
      <c r="CB142" s="49">
        <f>8086.5+13400</f>
        <v>21486.5</v>
      </c>
      <c r="CC142" s="58">
        <f t="shared" ref="CC142" si="1559">CB142/$BG142</f>
        <v>4.2972999999999999</v>
      </c>
      <c r="CD142" s="49">
        <f>157.5-3000+7680-80</f>
        <v>4757.5</v>
      </c>
      <c r="CE142" s="58">
        <f t="shared" ref="CE142" si="1560">CD142/$BG142</f>
        <v>0.95150000000000001</v>
      </c>
      <c r="CF142" s="49">
        <f t="shared" si="1486"/>
        <v>182527.43000000002</v>
      </c>
      <c r="CG142" s="58">
        <f t="shared" ref="CG142:CG161" si="1561">CF142/(BG142*12)</f>
        <v>3.0421238333333336</v>
      </c>
    </row>
    <row r="143" spans="1:85" ht="15.75" x14ac:dyDescent="0.25">
      <c r="A143" s="47" t="s">
        <v>99</v>
      </c>
      <c r="B143" s="25">
        <v>12615.271349999999</v>
      </c>
      <c r="C143" s="26">
        <v>5923.81</v>
      </c>
      <c r="D143" s="26">
        <v>7898.4133333333339</v>
      </c>
      <c r="E143" s="25">
        <v>8293.3340000000007</v>
      </c>
      <c r="F143" s="25">
        <f t="shared" si="1184"/>
        <v>691.11116666666669</v>
      </c>
      <c r="G143" s="25">
        <v>2466.89</v>
      </c>
      <c r="H143" s="58">
        <f t="shared" si="806"/>
        <v>3.5694546969891721</v>
      </c>
      <c r="I143" s="25">
        <v>3606.34</v>
      </c>
      <c r="J143" s="58">
        <f t="shared" si="807"/>
        <v>5.2181764294070394</v>
      </c>
      <c r="K143" s="25"/>
      <c r="L143" s="58">
        <f t="shared" si="808"/>
        <v>0</v>
      </c>
      <c r="M143" s="25"/>
      <c r="N143" s="58">
        <f t="shared" si="809"/>
        <v>0</v>
      </c>
      <c r="O143" s="64"/>
      <c r="P143" s="58">
        <f t="shared" si="790"/>
        <v>0</v>
      </c>
      <c r="Q143" s="64"/>
      <c r="R143" s="58">
        <f t="shared" si="1352"/>
        <v>0</v>
      </c>
      <c r="S143" s="64"/>
      <c r="T143" s="58">
        <f t="shared" si="1339"/>
        <v>0</v>
      </c>
      <c r="U143" s="64"/>
      <c r="V143" s="58">
        <f t="shared" si="1340"/>
        <v>0</v>
      </c>
      <c r="W143" s="64"/>
      <c r="X143" s="58">
        <f t="shared" si="881"/>
        <v>0</v>
      </c>
      <c r="Y143" s="25">
        <f t="shared" si="791"/>
        <v>6073.23</v>
      </c>
      <c r="Z143" s="58">
        <f t="shared" si="810"/>
        <v>0.73230259386635088</v>
      </c>
      <c r="AA143" s="25">
        <f t="shared" si="792"/>
        <v>674.80333333333328</v>
      </c>
      <c r="AB143" s="49">
        <f t="shared" ref="AB143" si="1562">AA143*$AC$7</f>
        <v>701.79546666666658</v>
      </c>
      <c r="AD143" s="69">
        <f t="shared" si="847"/>
        <v>1.04</v>
      </c>
      <c r="AG143" s="25"/>
      <c r="AH143" s="58">
        <f t="shared" si="1511"/>
        <v>0</v>
      </c>
      <c r="AI143" s="25">
        <v>201.6</v>
      </c>
      <c r="AJ143" s="58">
        <f t="shared" ref="AJ143" si="1563">AI143/$AB143</f>
        <v>0.28726318361323133</v>
      </c>
      <c r="AK143" s="25"/>
      <c r="AL143" s="58">
        <f t="shared" si="1266"/>
        <v>0</v>
      </c>
      <c r="AM143" s="25"/>
      <c r="AN143" s="58">
        <f t="shared" si="1267"/>
        <v>0</v>
      </c>
      <c r="AO143" s="25"/>
      <c r="AP143" s="58">
        <f t="shared" si="1268"/>
        <v>0</v>
      </c>
      <c r="AQ143" s="25"/>
      <c r="AR143" s="58">
        <f t="shared" si="1269"/>
        <v>0</v>
      </c>
      <c r="AS143" s="25"/>
      <c r="AT143" s="58">
        <f t="shared" si="1314"/>
        <v>0</v>
      </c>
      <c r="AU143" s="25"/>
      <c r="AV143" s="58">
        <f t="shared" si="1315"/>
        <v>0</v>
      </c>
      <c r="AW143" s="25"/>
      <c r="AX143" s="58">
        <f t="shared" si="1316"/>
        <v>0</v>
      </c>
      <c r="AY143" s="25"/>
      <c r="AZ143" s="58">
        <f t="shared" si="1317"/>
        <v>0</v>
      </c>
      <c r="BA143" s="25">
        <f t="shared" si="1527"/>
        <v>201.6</v>
      </c>
      <c r="BB143" s="58">
        <f t="shared" si="1528"/>
        <v>2.393859863443594E-2</v>
      </c>
      <c r="BC143" s="25">
        <f t="shared" si="1514"/>
        <v>22.4</v>
      </c>
      <c r="BD143" s="25">
        <f>AB143</f>
        <v>701.79546666666658</v>
      </c>
      <c r="BE143" s="25">
        <f t="shared" si="1515"/>
        <v>8421.5455999999995</v>
      </c>
      <c r="BF143" s="129">
        <v>8421.5455999999995</v>
      </c>
      <c r="BG143" s="129">
        <f t="shared" si="1499"/>
        <v>701.79546666666658</v>
      </c>
      <c r="BH143" s="25"/>
      <c r="BI143" s="58">
        <f t="shared" si="1500"/>
        <v>0</v>
      </c>
      <c r="BJ143" s="25"/>
      <c r="BK143" s="58">
        <f t="shared" si="1500"/>
        <v>0</v>
      </c>
      <c r="BL143" s="25"/>
      <c r="BM143" s="58">
        <f t="shared" ref="BM143" si="1564">BL143/$BG143</f>
        <v>0</v>
      </c>
      <c r="BN143" s="25"/>
      <c r="BO143" s="58">
        <f t="shared" ref="BO143" si="1565">BN143/$BG143</f>
        <v>0</v>
      </c>
      <c r="BP143" s="25"/>
      <c r="BQ143" s="58">
        <f t="shared" ref="BQ143" si="1566">BP143/$BG143</f>
        <v>0</v>
      </c>
      <c r="BR143" s="25"/>
      <c r="BS143" s="58">
        <f t="shared" ref="BS143" si="1567">BR143/$BG143</f>
        <v>0</v>
      </c>
      <c r="BT143" s="25"/>
      <c r="BU143" s="58">
        <f t="shared" ref="BU143" si="1568">BT143/$BG143</f>
        <v>0</v>
      </c>
      <c r="BV143" s="25"/>
      <c r="BW143" s="58">
        <f t="shared" ref="BW143" si="1569">BV143/$BG143</f>
        <v>0</v>
      </c>
      <c r="BX143" s="25"/>
      <c r="BY143" s="58">
        <f t="shared" ref="BY143" si="1570">BX143/$BG143</f>
        <v>0</v>
      </c>
      <c r="BZ143" s="25"/>
      <c r="CA143" s="58">
        <f t="shared" ref="CA143" si="1571">BZ143/$BG143</f>
        <v>0</v>
      </c>
      <c r="CB143" s="25">
        <v>2503.8000000000002</v>
      </c>
      <c r="CC143" s="58">
        <f t="shared" ref="CC143" si="1572">CB143/$BG143</f>
        <v>3.5677061464821858</v>
      </c>
      <c r="CD143" s="25"/>
      <c r="CE143" s="58">
        <f t="shared" ref="CE143" si="1573">CD143/$BG143</f>
        <v>0</v>
      </c>
      <c r="CF143" s="25">
        <f t="shared" si="1486"/>
        <v>2503.8000000000002</v>
      </c>
      <c r="CG143" s="58">
        <f t="shared" si="1561"/>
        <v>0.29730884554018211</v>
      </c>
    </row>
    <row r="144" spans="1:85" ht="30" x14ac:dyDescent="0.25">
      <c r="A144" s="47" t="s">
        <v>209</v>
      </c>
      <c r="B144" s="25">
        <v>7523.9999999999991</v>
      </c>
      <c r="C144" s="26"/>
      <c r="D144" s="26">
        <v>0</v>
      </c>
      <c r="E144" s="25">
        <v>0</v>
      </c>
      <c r="F144" s="25">
        <f t="shared" si="1184"/>
        <v>0</v>
      </c>
      <c r="G144" s="25"/>
      <c r="H144" s="58"/>
      <c r="I144" s="25">
        <v>902.71</v>
      </c>
      <c r="J144" s="58"/>
      <c r="K144" s="25">
        <v>2498.7199999999998</v>
      </c>
      <c r="L144" s="58"/>
      <c r="M144" s="25">
        <v>1887.8</v>
      </c>
      <c r="N144" s="58" t="e">
        <f t="shared" si="809"/>
        <v>#DIV/0!</v>
      </c>
      <c r="O144" s="64">
        <v>2589.5500000000002</v>
      </c>
      <c r="P144" s="58" t="e">
        <f t="shared" si="790"/>
        <v>#DIV/0!</v>
      </c>
      <c r="Q144" s="64">
        <f>1688.21</f>
        <v>1688.21</v>
      </c>
      <c r="R144" s="58" t="e">
        <f t="shared" si="1352"/>
        <v>#DIV/0!</v>
      </c>
      <c r="S144" s="64"/>
      <c r="T144" s="58" t="e">
        <f t="shared" si="1339"/>
        <v>#DIV/0!</v>
      </c>
      <c r="U144" s="64">
        <f>1895.67</f>
        <v>1895.67</v>
      </c>
      <c r="V144" s="58" t="e">
        <f t="shared" si="1340"/>
        <v>#DIV/0!</v>
      </c>
      <c r="W144" s="64">
        <f>1090.75</f>
        <v>1090.75</v>
      </c>
      <c r="X144" s="58" t="e">
        <f t="shared" si="881"/>
        <v>#DIV/0!</v>
      </c>
      <c r="Y144" s="25">
        <f t="shared" si="791"/>
        <v>12553.41</v>
      </c>
      <c r="Z144" s="58"/>
      <c r="AA144" s="25">
        <f t="shared" si="792"/>
        <v>1394.8233333333333</v>
      </c>
      <c r="AB144" s="49">
        <v>1150</v>
      </c>
      <c r="AD144" s="69">
        <f t="shared" ref="AD144:AD160" si="1574">AB144/AA144</f>
        <v>0.82447717393122666</v>
      </c>
      <c r="AE144" s="74" t="s">
        <v>157</v>
      </c>
      <c r="AF144" s="74"/>
      <c r="AG144" s="25">
        <v>894.62</v>
      </c>
      <c r="AH144" s="58">
        <f t="shared" si="1511"/>
        <v>0.7779304347826087</v>
      </c>
      <c r="AI144" s="25">
        <v>1808.63</v>
      </c>
      <c r="AJ144" s="58">
        <f t="shared" ref="AJ144" si="1575">AI144/$AB144</f>
        <v>1.5727217391304349</v>
      </c>
      <c r="AK144" s="25"/>
      <c r="AL144" s="58">
        <f t="shared" si="1266"/>
        <v>0</v>
      </c>
      <c r="AM144" s="25">
        <v>2494.5100000000002</v>
      </c>
      <c r="AN144" s="58">
        <f t="shared" si="1267"/>
        <v>2.1691391304347829</v>
      </c>
      <c r="AO144" s="25"/>
      <c r="AP144" s="58">
        <f t="shared" si="1268"/>
        <v>0</v>
      </c>
      <c r="AQ144" s="25">
        <v>307.14999999999998</v>
      </c>
      <c r="AR144" s="58">
        <f t="shared" si="1269"/>
        <v>0.26708695652173914</v>
      </c>
      <c r="AS144" s="25">
        <v>787.61</v>
      </c>
      <c r="AT144" s="58">
        <f t="shared" si="1314"/>
        <v>0.68487826086956527</v>
      </c>
      <c r="AU144" s="25">
        <v>1212.9100000000001</v>
      </c>
      <c r="AV144" s="58">
        <f t="shared" si="1315"/>
        <v>1.0547043478260871</v>
      </c>
      <c r="AW144" s="25">
        <v>790.39</v>
      </c>
      <c r="AX144" s="58">
        <f t="shared" si="1316"/>
        <v>0.68729565217391309</v>
      </c>
      <c r="AY144" s="25">
        <v>1279.74</v>
      </c>
      <c r="AZ144" s="58">
        <f t="shared" si="1317"/>
        <v>1.1128173913043478</v>
      </c>
      <c r="BA144" s="25">
        <f t="shared" si="1527"/>
        <v>9575.56</v>
      </c>
      <c r="BB144" s="58">
        <f t="shared" si="1528"/>
        <v>0.69388115942028983</v>
      </c>
      <c r="BC144" s="25">
        <f t="shared" si="1514"/>
        <v>1063.951111111111</v>
      </c>
      <c r="BD144" s="25">
        <f>AB144*BA1</f>
        <v>1196</v>
      </c>
      <c r="BE144" s="25">
        <f t="shared" si="1515"/>
        <v>14352</v>
      </c>
      <c r="BF144" s="129">
        <v>14352</v>
      </c>
      <c r="BG144" s="129">
        <f t="shared" si="1499"/>
        <v>1196</v>
      </c>
      <c r="BH144" s="25">
        <v>628.88</v>
      </c>
      <c r="BI144" s="58">
        <f t="shared" si="1500"/>
        <v>0.52581939799331101</v>
      </c>
      <c r="BJ144" s="25">
        <v>1819.86</v>
      </c>
      <c r="BK144" s="58">
        <f t="shared" si="1500"/>
        <v>1.5216220735785952</v>
      </c>
      <c r="BL144" s="25">
        <f>1001.43+700</f>
        <v>1701.4299999999998</v>
      </c>
      <c r="BM144" s="58">
        <f t="shared" ref="BM144" si="1576">BL144/$BG144</f>
        <v>1.4226003344481604</v>
      </c>
      <c r="BN144" s="25">
        <v>2619.52</v>
      </c>
      <c r="BO144" s="58">
        <f t="shared" ref="BO144" si="1577">BN144/$BG144</f>
        <v>2.1902341137123744</v>
      </c>
      <c r="BP144" s="25">
        <v>3089.19</v>
      </c>
      <c r="BQ144" s="58">
        <f t="shared" ref="BQ144" si="1578">BP144/$BG144</f>
        <v>2.5829347826086959</v>
      </c>
      <c r="BR144" s="25">
        <v>3483.62</v>
      </c>
      <c r="BS144" s="58">
        <f t="shared" ref="BS144" si="1579">BR144/$BG144</f>
        <v>2.912725752508361</v>
      </c>
      <c r="BT144" s="25">
        <v>5321.97</v>
      </c>
      <c r="BU144" s="58">
        <f t="shared" ref="BU144" si="1580">BT144/$BG144</f>
        <v>4.4498076923076928</v>
      </c>
      <c r="BV144" s="25">
        <v>1628.26</v>
      </c>
      <c r="BW144" s="58">
        <f t="shared" ref="BW144" si="1581">BV144/$BG144</f>
        <v>1.3614214046822743</v>
      </c>
      <c r="BX144" s="25">
        <v>3516.25</v>
      </c>
      <c r="BY144" s="58">
        <f t="shared" ref="BY144" si="1582">BX144/$BG144</f>
        <v>2.9400083612040135</v>
      </c>
      <c r="BZ144" s="25">
        <v>2800.19</v>
      </c>
      <c r="CA144" s="58">
        <f t="shared" ref="CA144" si="1583">BZ144/$BG144</f>
        <v>2.3412959866220735</v>
      </c>
      <c r="CB144" s="25">
        <v>2822.42</v>
      </c>
      <c r="CC144" s="58">
        <f t="shared" ref="CC144" si="1584">CB144/$BG144</f>
        <v>2.3598829431438126</v>
      </c>
      <c r="CD144" s="25">
        <v>4863.1400000000003</v>
      </c>
      <c r="CE144" s="58">
        <f t="shared" ref="CE144" si="1585">CD144/$BG144</f>
        <v>4.0661705685618728</v>
      </c>
      <c r="CF144" s="25">
        <f t="shared" si="1486"/>
        <v>34294.729999999996</v>
      </c>
      <c r="CG144" s="58">
        <f t="shared" si="1561"/>
        <v>2.3895436176142697</v>
      </c>
    </row>
    <row r="145" spans="1:86" ht="15.75" x14ac:dyDescent="0.25">
      <c r="A145" s="47" t="s">
        <v>208</v>
      </c>
      <c r="B145" s="25">
        <v>6567.0749999999998</v>
      </c>
      <c r="C145" s="26">
        <v>3729.4</v>
      </c>
      <c r="D145" s="26">
        <v>4972.5333333333338</v>
      </c>
      <c r="E145" s="25">
        <v>5221.1600000000008</v>
      </c>
      <c r="F145" s="25">
        <f t="shared" si="1184"/>
        <v>435.09666666666675</v>
      </c>
      <c r="G145" s="25">
        <v>1702.4</v>
      </c>
      <c r="H145" s="58">
        <f t="shared" si="806"/>
        <v>3.9126937308950498</v>
      </c>
      <c r="I145" s="25"/>
      <c r="J145" s="58">
        <f t="shared" si="807"/>
        <v>0</v>
      </c>
      <c r="K145" s="25">
        <v>1937.8</v>
      </c>
      <c r="L145" s="58">
        <f t="shared" si="808"/>
        <v>4.4537229274720547</v>
      </c>
      <c r="M145" s="25">
        <v>3393.16</v>
      </c>
      <c r="N145" s="58">
        <f t="shared" si="809"/>
        <v>7.7986347861394769</v>
      </c>
      <c r="O145" s="64">
        <v>285</v>
      </c>
      <c r="P145" s="58">
        <f t="shared" si="790"/>
        <v>0.6550268522703766</v>
      </c>
      <c r="Q145" s="64">
        <v>390</v>
      </c>
      <c r="R145" s="58">
        <f t="shared" si="1352"/>
        <v>0.89635253468577847</v>
      </c>
      <c r="S145" s="64">
        <f>923.55</f>
        <v>923.55</v>
      </c>
      <c r="T145" s="58">
        <f t="shared" si="1339"/>
        <v>2.1226317523308991</v>
      </c>
      <c r="U145" s="64"/>
      <c r="V145" s="58">
        <f t="shared" si="1340"/>
        <v>0</v>
      </c>
      <c r="W145" s="64">
        <v>285</v>
      </c>
      <c r="X145" s="58">
        <f t="shared" si="881"/>
        <v>0.6550268522703766</v>
      </c>
      <c r="Y145" s="25">
        <f t="shared" si="791"/>
        <v>8916.91</v>
      </c>
      <c r="Z145" s="58">
        <f t="shared" si="810"/>
        <v>1.7078407863386678</v>
      </c>
      <c r="AA145" s="25">
        <f t="shared" si="792"/>
        <v>990.76777777777772</v>
      </c>
      <c r="AB145" s="49">
        <v>200</v>
      </c>
      <c r="AD145" s="69">
        <f t="shared" si="1574"/>
        <v>0.20186365007609139</v>
      </c>
      <c r="AE145" s="74" t="s">
        <v>155</v>
      </c>
      <c r="AG145" s="25"/>
      <c r="AH145" s="58">
        <f t="shared" si="1511"/>
        <v>0</v>
      </c>
      <c r="AI145" s="25"/>
      <c r="AJ145" s="58">
        <f t="shared" ref="AJ145" si="1586">AI145/$AB145</f>
        <v>0</v>
      </c>
      <c r="AK145" s="25"/>
      <c r="AL145" s="58">
        <f t="shared" si="1266"/>
        <v>0</v>
      </c>
      <c r="AM145" s="25"/>
      <c r="AN145" s="58">
        <f t="shared" si="1267"/>
        <v>0</v>
      </c>
      <c r="AO145" s="25"/>
      <c r="AP145" s="58">
        <f t="shared" si="1268"/>
        <v>0</v>
      </c>
      <c r="AQ145" s="25"/>
      <c r="AR145" s="58">
        <f t="shared" si="1269"/>
        <v>0</v>
      </c>
      <c r="AS145" s="25"/>
      <c r="AT145" s="58">
        <f t="shared" si="1314"/>
        <v>0</v>
      </c>
      <c r="AU145" s="25"/>
      <c r="AV145" s="58">
        <f t="shared" si="1315"/>
        <v>0</v>
      </c>
      <c r="AW145" s="25"/>
      <c r="AX145" s="58">
        <f t="shared" si="1316"/>
        <v>0</v>
      </c>
      <c r="AY145" s="25"/>
      <c r="AZ145" s="58">
        <f t="shared" si="1317"/>
        <v>0</v>
      </c>
      <c r="BA145" s="25">
        <f t="shared" si="1527"/>
        <v>0</v>
      </c>
      <c r="BB145" s="58">
        <f t="shared" si="1528"/>
        <v>0</v>
      </c>
      <c r="BC145" s="25">
        <f t="shared" si="1514"/>
        <v>0</v>
      </c>
      <c r="BD145" s="25">
        <f>AB145</f>
        <v>200</v>
      </c>
      <c r="BE145" s="25">
        <f t="shared" si="1515"/>
        <v>2400</v>
      </c>
      <c r="BF145" s="129">
        <v>2400</v>
      </c>
      <c r="BG145" s="129">
        <f t="shared" si="1499"/>
        <v>200</v>
      </c>
      <c r="BH145" s="25"/>
      <c r="BI145" s="58">
        <f t="shared" si="1500"/>
        <v>0</v>
      </c>
      <c r="BJ145" s="25">
        <v>755</v>
      </c>
      <c r="BK145" s="58">
        <f t="shared" si="1500"/>
        <v>3.7749999999999999</v>
      </c>
      <c r="BL145" s="25">
        <v>2170</v>
      </c>
      <c r="BM145" s="58">
        <f t="shared" ref="BM145" si="1587">BL145/$BG145</f>
        <v>10.85</v>
      </c>
      <c r="BN145" s="25"/>
      <c r="BO145" s="58">
        <f t="shared" ref="BO145" si="1588">BN145/$BG145</f>
        <v>0</v>
      </c>
      <c r="BP145" s="25">
        <v>710</v>
      </c>
      <c r="BQ145" s="58">
        <f t="shared" ref="BQ145" si="1589">BP145/$BG145</f>
        <v>3.55</v>
      </c>
      <c r="BR145" s="25">
        <v>1599</v>
      </c>
      <c r="BS145" s="58">
        <f t="shared" ref="BS145" si="1590">BR145/$BG145</f>
        <v>7.9950000000000001</v>
      </c>
      <c r="BT145" s="25">
        <v>5482</v>
      </c>
      <c r="BU145" s="58">
        <f t="shared" ref="BU145" si="1591">BT145/$BG145</f>
        <v>27.41</v>
      </c>
      <c r="BV145" s="25">
        <v>1360</v>
      </c>
      <c r="BW145" s="58">
        <f t="shared" ref="BW145" si="1592">BV145/$BG145</f>
        <v>6.8</v>
      </c>
      <c r="BX145" s="25">
        <f>50+441</f>
        <v>491</v>
      </c>
      <c r="BY145" s="58">
        <f t="shared" ref="BY145" si="1593">BX145/$BG145</f>
        <v>2.4550000000000001</v>
      </c>
      <c r="BZ145" s="25">
        <v>6370</v>
      </c>
      <c r="CA145" s="58">
        <f t="shared" ref="CA145" si="1594">BZ145/$BG145</f>
        <v>31.85</v>
      </c>
      <c r="CB145" s="25"/>
      <c r="CC145" s="58">
        <f t="shared" ref="CC145" si="1595">CB145/$BG145</f>
        <v>0</v>
      </c>
      <c r="CD145" s="25"/>
      <c r="CE145" s="58">
        <f t="shared" ref="CE145" si="1596">CD145/$BG145</f>
        <v>0</v>
      </c>
      <c r="CF145" s="25">
        <f t="shared" si="1486"/>
        <v>18937</v>
      </c>
      <c r="CG145" s="58">
        <f t="shared" si="1561"/>
        <v>7.8904166666666669</v>
      </c>
    </row>
    <row r="146" spans="1:86" ht="15.75" x14ac:dyDescent="0.25">
      <c r="A146" s="47" t="s">
        <v>100</v>
      </c>
      <c r="B146" s="25">
        <v>50000</v>
      </c>
      <c r="C146" s="26">
        <v>36608.9</v>
      </c>
      <c r="D146" s="26">
        <v>48811.866666666669</v>
      </c>
      <c r="E146" s="25">
        <v>65000</v>
      </c>
      <c r="F146" s="25">
        <f t="shared" si="1184"/>
        <v>5416.666666666667</v>
      </c>
      <c r="G146" s="25">
        <v>1335</v>
      </c>
      <c r="H146" s="58">
        <f t="shared" si="806"/>
        <v>0.24646153846153845</v>
      </c>
      <c r="I146" s="25">
        <f>1780+5866.08</f>
        <v>7646.08</v>
      </c>
      <c r="J146" s="58">
        <f t="shared" si="807"/>
        <v>1.4115839999999999</v>
      </c>
      <c r="K146" s="25">
        <v>4769.3</v>
      </c>
      <c r="L146" s="58">
        <f t="shared" si="808"/>
        <v>0.88048615384615381</v>
      </c>
      <c r="M146" s="25">
        <f>234+687.36+663</f>
        <v>1584.3600000000001</v>
      </c>
      <c r="N146" s="58">
        <f t="shared" si="809"/>
        <v>0.29249723076923079</v>
      </c>
      <c r="O146" s="64">
        <v>12990.83</v>
      </c>
      <c r="P146" s="58">
        <f t="shared" ref="P146:P160" si="1597">O146/$F146</f>
        <v>2.3983070769230768</v>
      </c>
      <c r="Q146" s="64">
        <v>13659.53</v>
      </c>
      <c r="R146" s="58">
        <f t="shared" si="1352"/>
        <v>2.5217593846153847</v>
      </c>
      <c r="S146" s="64">
        <f>4277.5-12080-14944</f>
        <v>-22746.5</v>
      </c>
      <c r="T146" s="58">
        <f t="shared" si="1339"/>
        <v>-4.199353846153846</v>
      </c>
      <c r="U146" s="64">
        <f>1000+248.54</f>
        <v>1248.54</v>
      </c>
      <c r="V146" s="58">
        <f t="shared" si="1340"/>
        <v>0.23049969230769229</v>
      </c>
      <c r="W146" s="64">
        <v>2830</v>
      </c>
      <c r="X146" s="58">
        <f t="shared" si="881"/>
        <v>0.52246153846153842</v>
      </c>
      <c r="Y146" s="25">
        <f t="shared" ref="Y146:Y160" si="1598">G146+I146+K146+M146+O146+Q146+S146+U146+W146</f>
        <v>23317.14</v>
      </c>
      <c r="Z146" s="58">
        <f t="shared" si="810"/>
        <v>0.35872523076923074</v>
      </c>
      <c r="AA146" s="25">
        <f t="shared" ref="AA146:AA160" si="1599">(Y146/9)</f>
        <v>2590.7933333333331</v>
      </c>
      <c r="AB146" s="49">
        <v>4400</v>
      </c>
      <c r="AD146" s="69"/>
      <c r="AG146" s="25"/>
      <c r="AH146" s="58">
        <f t="shared" si="1511"/>
        <v>0</v>
      </c>
      <c r="AI146" s="25">
        <v>1573.66</v>
      </c>
      <c r="AJ146" s="58">
        <f t="shared" ref="AJ146" si="1600">AI146/$AB146</f>
        <v>0.35765000000000002</v>
      </c>
      <c r="AK146" s="25"/>
      <c r="AL146" s="58">
        <f t="shared" si="1266"/>
        <v>0</v>
      </c>
      <c r="AM146" s="25">
        <v>932.88</v>
      </c>
      <c r="AN146" s="58">
        <f t="shared" si="1267"/>
        <v>0.21201818181818183</v>
      </c>
      <c r="AO146" s="25"/>
      <c r="AP146" s="58">
        <f t="shared" si="1268"/>
        <v>0</v>
      </c>
      <c r="AQ146" s="25"/>
      <c r="AR146" s="58">
        <f t="shared" si="1269"/>
        <v>0</v>
      </c>
      <c r="AS146" s="25"/>
      <c r="AT146" s="58">
        <f t="shared" si="1314"/>
        <v>0</v>
      </c>
      <c r="AU146" s="25"/>
      <c r="AV146" s="58">
        <f t="shared" si="1315"/>
        <v>0</v>
      </c>
      <c r="AW146" s="25">
        <v>8174</v>
      </c>
      <c r="AX146" s="58">
        <f t="shared" si="1316"/>
        <v>1.8577272727272727</v>
      </c>
      <c r="AY146" s="25">
        <v>1054</v>
      </c>
      <c r="AZ146" s="58">
        <f t="shared" si="1317"/>
        <v>0.23954545454545453</v>
      </c>
      <c r="BA146" s="25">
        <f t="shared" si="1527"/>
        <v>11734.54</v>
      </c>
      <c r="BB146" s="58">
        <f t="shared" si="1528"/>
        <v>0.22224507575757577</v>
      </c>
      <c r="BC146" s="25">
        <f t="shared" si="1514"/>
        <v>1303.8377777777778</v>
      </c>
      <c r="BD146" s="25">
        <f>AB146</f>
        <v>4400</v>
      </c>
      <c r="BE146" s="25">
        <f t="shared" si="1515"/>
        <v>52800</v>
      </c>
      <c r="BF146" s="129">
        <v>20000</v>
      </c>
      <c r="BG146" s="129">
        <f t="shared" si="1499"/>
        <v>1666.6666666666667</v>
      </c>
      <c r="BH146" s="25">
        <v>14732</v>
      </c>
      <c r="BI146" s="58">
        <f t="shared" si="1500"/>
        <v>8.8391999999999999</v>
      </c>
      <c r="BJ146" s="25">
        <f>13103.85-4000</f>
        <v>9103.85</v>
      </c>
      <c r="BK146" s="58">
        <f t="shared" si="1500"/>
        <v>5.4623099999999996</v>
      </c>
      <c r="BL146" s="25">
        <f>16821.97-6190</f>
        <v>10631.970000000001</v>
      </c>
      <c r="BM146" s="58">
        <f t="shared" ref="BM146" si="1601">BL146/$BG146</f>
        <v>6.3791820000000001</v>
      </c>
      <c r="BN146" s="25">
        <v>8555.77</v>
      </c>
      <c r="BO146" s="58">
        <f t="shared" ref="BO146" si="1602">BN146/$BG146</f>
        <v>5.1334619999999997</v>
      </c>
      <c r="BP146" s="25">
        <f>4862.2-512</f>
        <v>4350.2</v>
      </c>
      <c r="BQ146" s="58">
        <f t="shared" ref="BQ146" si="1603">BP146/$BG146</f>
        <v>2.6101199999999998</v>
      </c>
      <c r="BR146" s="25">
        <v>16195.57</v>
      </c>
      <c r="BS146" s="58">
        <f t="shared" ref="BS146" si="1604">BR146/$BG146</f>
        <v>9.7173419999999986</v>
      </c>
      <c r="BT146" s="25">
        <v>11663.24</v>
      </c>
      <c r="BU146" s="58">
        <f t="shared" ref="BU146" si="1605">BT146/$BG146</f>
        <v>6.9979439999999995</v>
      </c>
      <c r="BV146" s="25">
        <f>3144.56+1679.44</f>
        <v>4824</v>
      </c>
      <c r="BW146" s="58">
        <f t="shared" ref="BW146" si="1606">BV146/$BG146</f>
        <v>2.8944000000000001</v>
      </c>
      <c r="BX146" s="25">
        <v>7668.2</v>
      </c>
      <c r="BY146" s="58">
        <f t="shared" ref="BY146" si="1607">BX146/$BG146</f>
        <v>4.6009199999999995</v>
      </c>
      <c r="BZ146" s="25">
        <v>1332.51</v>
      </c>
      <c r="CA146" s="58">
        <f t="shared" ref="CA146" si="1608">BZ146/$BG146</f>
        <v>0.79950599999999994</v>
      </c>
      <c r="CB146" s="25"/>
      <c r="CC146" s="58">
        <f t="shared" ref="CC146" si="1609">CB146/$BG146</f>
        <v>0</v>
      </c>
      <c r="CD146" s="25">
        <f>10193.25-207.75-1495.15</f>
        <v>8490.35</v>
      </c>
      <c r="CE146" s="58">
        <f t="shared" ref="CE146" si="1610">CD146/$BG146</f>
        <v>5.0942100000000003</v>
      </c>
      <c r="CF146" s="25">
        <f>BH146+BJ146+BL146+BN146+BP146+BR146+BT146+BV146+BX146+BZ146+CB146+CD146</f>
        <v>97547.659999999989</v>
      </c>
      <c r="CG146" s="58">
        <f t="shared" si="1561"/>
        <v>4.8773829999999991</v>
      </c>
      <c r="CH146" s="69"/>
    </row>
    <row r="147" spans="1:86" ht="15.75" x14ac:dyDescent="0.25">
      <c r="A147" s="47" t="s">
        <v>101</v>
      </c>
      <c r="B147" s="25"/>
      <c r="C147" s="26"/>
      <c r="D147" s="26"/>
      <c r="E147" s="25">
        <v>10000</v>
      </c>
      <c r="F147" s="25">
        <f t="shared" si="1184"/>
        <v>833.33333333333337</v>
      </c>
      <c r="G147" s="25"/>
      <c r="H147" s="58">
        <f t="shared" si="806"/>
        <v>0</v>
      </c>
      <c r="I147" s="25">
        <v>11770</v>
      </c>
      <c r="J147" s="58"/>
      <c r="K147" s="25">
        <v>20271</v>
      </c>
      <c r="L147" s="58">
        <f t="shared" si="808"/>
        <v>24.325199999999999</v>
      </c>
      <c r="M147" s="25"/>
      <c r="N147" s="58">
        <f t="shared" si="809"/>
        <v>0</v>
      </c>
      <c r="O147" s="64"/>
      <c r="P147" s="58">
        <f t="shared" si="1597"/>
        <v>0</v>
      </c>
      <c r="Q147" s="64">
        <v>13610</v>
      </c>
      <c r="R147" s="58">
        <f t="shared" si="1352"/>
        <v>16.332000000000001</v>
      </c>
      <c r="S147" s="64"/>
      <c r="T147" s="58">
        <f t="shared" si="1339"/>
        <v>0</v>
      </c>
      <c r="U147" s="64"/>
      <c r="V147" s="58">
        <f t="shared" si="1340"/>
        <v>0</v>
      </c>
      <c r="W147" s="64"/>
      <c r="X147" s="58">
        <f t="shared" si="881"/>
        <v>0</v>
      </c>
      <c r="Y147" s="25">
        <f t="shared" si="1598"/>
        <v>45651</v>
      </c>
      <c r="Z147" s="58">
        <f t="shared" si="810"/>
        <v>4.5651000000000002</v>
      </c>
      <c r="AA147" s="25">
        <f t="shared" si="1599"/>
        <v>5072.333333333333</v>
      </c>
      <c r="AB147" s="49">
        <f>6000/12</f>
        <v>500</v>
      </c>
      <c r="AD147" s="69">
        <f t="shared" si="1574"/>
        <v>9.8573963330485653E-2</v>
      </c>
      <c r="AE147" t="s">
        <v>156</v>
      </c>
      <c r="AG147" s="25"/>
      <c r="AH147" s="58">
        <f t="shared" si="1511"/>
        <v>0</v>
      </c>
      <c r="AI147" s="25"/>
      <c r="AJ147" s="58">
        <f t="shared" ref="AJ147" si="1611">AI147/$AB147</f>
        <v>0</v>
      </c>
      <c r="AK147" s="25"/>
      <c r="AL147" s="58">
        <f t="shared" si="1266"/>
        <v>0</v>
      </c>
      <c r="AM147" s="25"/>
      <c r="AN147" s="58">
        <f t="shared" si="1267"/>
        <v>0</v>
      </c>
      <c r="AO147" s="25"/>
      <c r="AP147" s="58">
        <f t="shared" si="1268"/>
        <v>0</v>
      </c>
      <c r="AQ147" s="25"/>
      <c r="AR147" s="58">
        <f t="shared" si="1269"/>
        <v>0</v>
      </c>
      <c r="AS147" s="25"/>
      <c r="AT147" s="58">
        <f t="shared" si="1314"/>
        <v>0</v>
      </c>
      <c r="AU147" s="25"/>
      <c r="AV147" s="58">
        <f t="shared" si="1315"/>
        <v>0</v>
      </c>
      <c r="AW147" s="25"/>
      <c r="AX147" s="58">
        <f t="shared" si="1316"/>
        <v>0</v>
      </c>
      <c r="AY147" s="25"/>
      <c r="AZ147" s="58">
        <f t="shared" si="1317"/>
        <v>0</v>
      </c>
      <c r="BA147" s="25">
        <f t="shared" si="1527"/>
        <v>0</v>
      </c>
      <c r="BB147" s="58">
        <f t="shared" si="1528"/>
        <v>0</v>
      </c>
      <c r="BC147" s="25">
        <f t="shared" si="1514"/>
        <v>0</v>
      </c>
      <c r="BD147" s="25">
        <f>AB147</f>
        <v>500</v>
      </c>
      <c r="BE147" s="25">
        <f t="shared" si="1515"/>
        <v>6000</v>
      </c>
      <c r="BF147" s="129">
        <v>6000</v>
      </c>
      <c r="BG147" s="129">
        <f t="shared" si="1499"/>
        <v>500</v>
      </c>
      <c r="BH147" s="25"/>
      <c r="BI147" s="58">
        <f t="shared" si="1500"/>
        <v>0</v>
      </c>
      <c r="BJ147" s="25"/>
      <c r="BK147" s="58">
        <f t="shared" si="1500"/>
        <v>0</v>
      </c>
      <c r="BL147" s="25"/>
      <c r="BM147" s="58">
        <f t="shared" ref="BM147" si="1612">BL147/$BG147</f>
        <v>0</v>
      </c>
      <c r="BN147" s="25">
        <v>600</v>
      </c>
      <c r="BO147" s="58">
        <f t="shared" ref="BO147" si="1613">BN147/$BG147</f>
        <v>1.2</v>
      </c>
      <c r="BP147" s="25">
        <v>20758.23</v>
      </c>
      <c r="BQ147" s="58">
        <f t="shared" ref="BQ147" si="1614">BP147/$BG147</f>
        <v>41.516460000000002</v>
      </c>
      <c r="BR147" s="25">
        <v>1532.5</v>
      </c>
      <c r="BS147" s="58">
        <f t="shared" ref="BS147" si="1615">BR147/$BG147</f>
        <v>3.0649999999999999</v>
      </c>
      <c r="BT147" s="25">
        <v>4317</v>
      </c>
      <c r="BU147" s="58">
        <f t="shared" ref="BU147" si="1616">BT147/$BG147</f>
        <v>8.6340000000000003</v>
      </c>
      <c r="BV147" s="25"/>
      <c r="BW147" s="58">
        <f t="shared" ref="BW147" si="1617">BV147/$BG147</f>
        <v>0</v>
      </c>
      <c r="BX147" s="25"/>
      <c r="BY147" s="58">
        <f t="shared" ref="BY147" si="1618">BX147/$BG147</f>
        <v>0</v>
      </c>
      <c r="BZ147" s="25"/>
      <c r="CA147" s="58">
        <f t="shared" ref="CA147" si="1619">BZ147/$BG147</f>
        <v>0</v>
      </c>
      <c r="CB147" s="25"/>
      <c r="CC147" s="58">
        <f t="shared" ref="CC147" si="1620">CB147/$BG147</f>
        <v>0</v>
      </c>
      <c r="CD147" s="25">
        <v>1811.1</v>
      </c>
      <c r="CE147" s="58">
        <f t="shared" ref="CE147" si="1621">CD147/$BG147</f>
        <v>3.6221999999999999</v>
      </c>
      <c r="CF147" s="25">
        <f t="shared" si="1486"/>
        <v>29018.829999999998</v>
      </c>
      <c r="CG147" s="58">
        <f t="shared" si="1561"/>
        <v>4.8364716666666663</v>
      </c>
    </row>
    <row r="148" spans="1:86" ht="15.75" x14ac:dyDescent="0.25">
      <c r="A148" s="47" t="s">
        <v>102</v>
      </c>
      <c r="B148" s="25">
        <v>3856.0499999999997</v>
      </c>
      <c r="C148" s="26"/>
      <c r="D148" s="26">
        <v>0</v>
      </c>
      <c r="E148" s="25">
        <v>4000</v>
      </c>
      <c r="F148" s="25">
        <f t="shared" si="1184"/>
        <v>333.33333333333331</v>
      </c>
      <c r="G148" s="25"/>
      <c r="H148" s="58">
        <f t="shared" ref="H148:H160" si="1622">G148/F148</f>
        <v>0</v>
      </c>
      <c r="I148" s="25"/>
      <c r="J148" s="58">
        <f t="shared" ref="J148:J160" si="1623">I148/F148</f>
        <v>0</v>
      </c>
      <c r="K148" s="25"/>
      <c r="L148" s="58">
        <f t="shared" ref="L148:L160" si="1624">K148/F148</f>
        <v>0</v>
      </c>
      <c r="M148" s="25"/>
      <c r="N148" s="58">
        <f t="shared" ref="N148:N160" si="1625">M148/F148</f>
        <v>0</v>
      </c>
      <c r="O148" s="64"/>
      <c r="P148" s="58">
        <f t="shared" si="1597"/>
        <v>0</v>
      </c>
      <c r="Q148" s="64"/>
      <c r="R148" s="58">
        <f t="shared" si="1352"/>
        <v>0</v>
      </c>
      <c r="S148" s="64"/>
      <c r="T148" s="58">
        <f t="shared" si="1339"/>
        <v>0</v>
      </c>
      <c r="U148" s="64"/>
      <c r="V148" s="58">
        <f t="shared" si="1340"/>
        <v>0</v>
      </c>
      <c r="W148" s="64"/>
      <c r="X148" s="58">
        <f t="shared" si="881"/>
        <v>0</v>
      </c>
      <c r="Y148" s="25">
        <f t="shared" si="1598"/>
        <v>0</v>
      </c>
      <c r="Z148" s="58">
        <f t="shared" ref="Z148:Z160" si="1626">Y148/$E148</f>
        <v>0</v>
      </c>
      <c r="AA148" s="25">
        <f t="shared" si="1599"/>
        <v>0</v>
      </c>
      <c r="AB148" s="49">
        <v>0</v>
      </c>
      <c r="AD148" s="69"/>
      <c r="AG148" s="25"/>
      <c r="AH148" s="58" t="e">
        <f t="shared" si="1511"/>
        <v>#DIV/0!</v>
      </c>
      <c r="AI148" s="25"/>
      <c r="AJ148" s="58" t="e">
        <f t="shared" ref="AJ148" si="1627">AI148/$AB148</f>
        <v>#DIV/0!</v>
      </c>
      <c r="AK148" s="25"/>
      <c r="AL148" s="58" t="e">
        <f t="shared" si="1266"/>
        <v>#DIV/0!</v>
      </c>
      <c r="AM148" s="25"/>
      <c r="AN148" s="58" t="e">
        <f t="shared" si="1267"/>
        <v>#DIV/0!</v>
      </c>
      <c r="AO148" s="25"/>
      <c r="AP148" s="58" t="e">
        <f t="shared" si="1268"/>
        <v>#DIV/0!</v>
      </c>
      <c r="AQ148" s="25"/>
      <c r="AR148" s="58" t="e">
        <f t="shared" si="1269"/>
        <v>#DIV/0!</v>
      </c>
      <c r="AS148" s="25"/>
      <c r="AT148" s="58" t="e">
        <f t="shared" si="1314"/>
        <v>#DIV/0!</v>
      </c>
      <c r="AU148" s="25"/>
      <c r="AV148" s="58" t="e">
        <f t="shared" si="1315"/>
        <v>#DIV/0!</v>
      </c>
      <c r="AW148" s="25"/>
      <c r="AX148" s="58" t="e">
        <f t="shared" si="1316"/>
        <v>#DIV/0!</v>
      </c>
      <c r="AY148" s="25"/>
      <c r="AZ148" s="58" t="e">
        <f t="shared" si="1317"/>
        <v>#DIV/0!</v>
      </c>
      <c r="BA148" s="25">
        <f t="shared" si="1527"/>
        <v>0</v>
      </c>
      <c r="BB148" s="58" t="e">
        <f t="shared" si="1528"/>
        <v>#DIV/0!</v>
      </c>
      <c r="BC148" s="25">
        <f t="shared" si="1514"/>
        <v>0</v>
      </c>
      <c r="BD148" s="25">
        <v>0</v>
      </c>
      <c r="BE148" s="25">
        <f t="shared" si="1515"/>
        <v>0</v>
      </c>
      <c r="BF148" s="129">
        <v>0</v>
      </c>
      <c r="BG148" s="129">
        <f t="shared" si="1499"/>
        <v>0</v>
      </c>
      <c r="BH148" s="25"/>
      <c r="BI148" s="58">
        <v>0</v>
      </c>
      <c r="BJ148" s="25"/>
      <c r="BK148" s="58" t="e">
        <f t="shared" si="1500"/>
        <v>#DIV/0!</v>
      </c>
      <c r="BL148" s="25"/>
      <c r="BM148" s="58" t="e">
        <f t="shared" ref="BM148" si="1628">BL148/$BG148</f>
        <v>#DIV/0!</v>
      </c>
      <c r="BN148" s="25"/>
      <c r="BO148" s="58" t="e">
        <f t="shared" ref="BO148" si="1629">BN148/$BG148</f>
        <v>#DIV/0!</v>
      </c>
      <c r="BP148" s="25"/>
      <c r="BQ148" s="58" t="e">
        <f t="shared" ref="BQ148" si="1630">BP148/$BG148</f>
        <v>#DIV/0!</v>
      </c>
      <c r="BR148" s="25"/>
      <c r="BS148" s="58" t="e">
        <f t="shared" ref="BS148" si="1631">BR148/$BG148</f>
        <v>#DIV/0!</v>
      </c>
      <c r="BT148" s="25"/>
      <c r="BU148" s="58" t="e">
        <f t="shared" ref="BU148" si="1632">BT148/$BG148</f>
        <v>#DIV/0!</v>
      </c>
      <c r="BV148" s="25"/>
      <c r="BW148" s="58" t="e">
        <f t="shared" ref="BW148" si="1633">BV148/$BG148</f>
        <v>#DIV/0!</v>
      </c>
      <c r="BX148" s="25"/>
      <c r="BY148" s="58" t="e">
        <f t="shared" ref="BY148" si="1634">BX148/$BG148</f>
        <v>#DIV/0!</v>
      </c>
      <c r="BZ148" s="25"/>
      <c r="CA148" s="58" t="e">
        <f t="shared" ref="CA148" si="1635">BZ148/$BG148</f>
        <v>#DIV/0!</v>
      </c>
      <c r="CB148" s="25"/>
      <c r="CC148" s="58" t="e">
        <f t="shared" ref="CC148" si="1636">CB148/$BG148</f>
        <v>#DIV/0!</v>
      </c>
      <c r="CD148" s="25"/>
      <c r="CE148" s="58" t="e">
        <f t="shared" ref="CE148" si="1637">CD148/$BG148</f>
        <v>#DIV/0!</v>
      </c>
      <c r="CF148" s="25">
        <f t="shared" si="1486"/>
        <v>0</v>
      </c>
      <c r="CG148" s="58">
        <v>0</v>
      </c>
    </row>
    <row r="149" spans="1:86" ht="15.75" x14ac:dyDescent="0.25">
      <c r="A149" s="51" t="s">
        <v>103</v>
      </c>
      <c r="B149" s="52">
        <v>113903.790425</v>
      </c>
      <c r="C149" s="52">
        <v>70009.22</v>
      </c>
      <c r="D149" s="53">
        <v>93345.626666666678</v>
      </c>
      <c r="E149" s="53">
        <v>114221.9</v>
      </c>
      <c r="F149" s="53">
        <f t="shared" si="1184"/>
        <v>9518.4916666666668</v>
      </c>
      <c r="G149" s="53">
        <f>G150</f>
        <v>8898.18</v>
      </c>
      <c r="H149" s="61">
        <f t="shared" si="1622"/>
        <v>0.93483088619607979</v>
      </c>
      <c r="I149" s="53">
        <f>I150</f>
        <v>17613.010000000002</v>
      </c>
      <c r="J149" s="61">
        <f t="shared" si="1623"/>
        <v>1.8503992666905384</v>
      </c>
      <c r="K149" s="53">
        <f>K150</f>
        <v>18907.349999999999</v>
      </c>
      <c r="L149" s="61">
        <f t="shared" si="1624"/>
        <v>1.9863808954324869</v>
      </c>
      <c r="M149" s="53">
        <f>M150</f>
        <v>30759.440000000002</v>
      </c>
      <c r="N149" s="61">
        <f t="shared" si="1625"/>
        <v>3.2315456142823753</v>
      </c>
      <c r="O149" s="67">
        <f>O150</f>
        <v>13888.989999999998</v>
      </c>
      <c r="P149" s="61">
        <f t="shared" si="1597"/>
        <v>1.459158707743436</v>
      </c>
      <c r="Q149" s="67">
        <f>Q150</f>
        <v>9825.93</v>
      </c>
      <c r="R149" s="61">
        <f t="shared" si="1352"/>
        <v>1.0322990599876205</v>
      </c>
      <c r="S149" s="67">
        <f>S150</f>
        <v>10898.539999999999</v>
      </c>
      <c r="T149" s="61">
        <f t="shared" si="1339"/>
        <v>1.1449860315753808</v>
      </c>
      <c r="U149" s="67">
        <f>U150</f>
        <v>11835.710000000001</v>
      </c>
      <c r="V149" s="61">
        <f t="shared" si="1340"/>
        <v>1.2434438579641909</v>
      </c>
      <c r="W149" s="67">
        <f>W150</f>
        <v>5491.920000000001</v>
      </c>
      <c r="X149" s="61">
        <f t="shared" si="881"/>
        <v>0.57697376772755493</v>
      </c>
      <c r="Y149" s="53">
        <f t="shared" si="1598"/>
        <v>128119.06999999999</v>
      </c>
      <c r="Z149" s="61">
        <f t="shared" si="1626"/>
        <v>1.1216681739666385</v>
      </c>
      <c r="AA149" s="53">
        <f t="shared" si="1599"/>
        <v>14235.452222222222</v>
      </c>
      <c r="AB149" s="53">
        <f>AB150</f>
        <v>12071.395555555555</v>
      </c>
      <c r="AD149" s="69">
        <f t="shared" si="1574"/>
        <v>0.84798117875816614</v>
      </c>
      <c r="AG149" s="53">
        <f>AG150</f>
        <v>24857.78</v>
      </c>
      <c r="AH149" s="61">
        <f t="shared" si="1511"/>
        <v>2.0592300107803054</v>
      </c>
      <c r="AI149" s="53">
        <f>AI150</f>
        <v>3062.38</v>
      </c>
      <c r="AJ149" s="61">
        <f t="shared" ref="AJ149" si="1638">AI149/$AB149</f>
        <v>0.25368897787386457</v>
      </c>
      <c r="AK149" s="53">
        <f>AK150</f>
        <v>0</v>
      </c>
      <c r="AL149" s="61">
        <f t="shared" si="1266"/>
        <v>0</v>
      </c>
      <c r="AM149" s="53">
        <f>AM150</f>
        <v>2616.98</v>
      </c>
      <c r="AN149" s="61">
        <f t="shared" si="1267"/>
        <v>0.21679183553848511</v>
      </c>
      <c r="AO149" s="53">
        <f>AO150</f>
        <v>830</v>
      </c>
      <c r="AP149" s="61">
        <f t="shared" si="1268"/>
        <v>6.8757584504636121E-2</v>
      </c>
      <c r="AQ149" s="53">
        <f>AQ150</f>
        <v>2643.32</v>
      </c>
      <c r="AR149" s="61">
        <f t="shared" si="1269"/>
        <v>0.21897385334071659</v>
      </c>
      <c r="AS149" s="53">
        <f>AS150</f>
        <v>4599.8</v>
      </c>
      <c r="AT149" s="61">
        <f t="shared" si="1314"/>
        <v>0.3810495628968979</v>
      </c>
      <c r="AU149" s="53">
        <f>AU150</f>
        <v>5530.13</v>
      </c>
      <c r="AV149" s="61">
        <f t="shared" si="1315"/>
        <v>0.45811853108026912</v>
      </c>
      <c r="AW149" s="53">
        <f>AW150</f>
        <v>4300.51</v>
      </c>
      <c r="AX149" s="61">
        <f t="shared" si="1316"/>
        <v>0.35625624064823219</v>
      </c>
      <c r="AY149" s="53">
        <f>AY150</f>
        <v>9617.0300000000007</v>
      </c>
      <c r="AZ149" s="61">
        <f t="shared" si="1317"/>
        <v>0.79667922037183225</v>
      </c>
      <c r="BA149" s="53">
        <f t="shared" si="1527"/>
        <v>58057.93</v>
      </c>
      <c r="BB149" s="61">
        <f t="shared" si="1528"/>
        <v>0.40079548475293669</v>
      </c>
      <c r="BC149" s="53">
        <f t="shared" si="1514"/>
        <v>6450.8811111111108</v>
      </c>
      <c r="BD149" s="53">
        <f>BD150</f>
        <v>12086.251377777779</v>
      </c>
      <c r="BE149" s="53">
        <f t="shared" si="1515"/>
        <v>145035.01653333334</v>
      </c>
      <c r="BF149" s="137">
        <v>145035</v>
      </c>
      <c r="BG149" s="137">
        <f t="shared" si="1499"/>
        <v>12086.25</v>
      </c>
      <c r="BH149" s="53">
        <f>BH150</f>
        <v>39735.550000000003</v>
      </c>
      <c r="BI149" s="61">
        <f t="shared" si="1500"/>
        <v>3.2876657358568622</v>
      </c>
      <c r="BJ149" s="53">
        <f>BJ150</f>
        <v>16374.05</v>
      </c>
      <c r="BK149" s="61">
        <f t="shared" si="1500"/>
        <v>1.3547667804323094</v>
      </c>
      <c r="BL149" s="53">
        <f>BL150</f>
        <v>17751.099999999999</v>
      </c>
      <c r="BM149" s="61">
        <f t="shared" ref="BM149" si="1639">BL149/$BG149</f>
        <v>1.4687020374392388</v>
      </c>
      <c r="BN149" s="53">
        <f>BN150</f>
        <v>16813.870000000003</v>
      </c>
      <c r="BO149" s="61">
        <f t="shared" ref="BO149" si="1640">BN149/$BG149</f>
        <v>1.3911568931637193</v>
      </c>
      <c r="BP149" s="53">
        <f>BP150</f>
        <v>36399.47</v>
      </c>
      <c r="BQ149" s="61">
        <f t="shared" ref="BQ149" si="1641">BP149/$BG149</f>
        <v>3.0116429827283069</v>
      </c>
      <c r="BR149" s="53">
        <f>BR150</f>
        <v>14288.539999999999</v>
      </c>
      <c r="BS149" s="61">
        <f t="shared" ref="BS149" si="1642">BR149/$BG149</f>
        <v>1.1822144999482882</v>
      </c>
      <c r="BT149" s="53">
        <f>BT150</f>
        <v>13117.08</v>
      </c>
      <c r="BU149" s="61">
        <f t="shared" ref="BU149" si="1643">BT149/$BG149</f>
        <v>1.0852894818492087</v>
      </c>
      <c r="BV149" s="53">
        <f>BV150</f>
        <v>16951.89</v>
      </c>
      <c r="BW149" s="61">
        <f t="shared" ref="BW149" si="1644">BV149/$BG149</f>
        <v>1.4025764815389388</v>
      </c>
      <c r="BX149" s="53">
        <f>BX150</f>
        <v>22620.27</v>
      </c>
      <c r="BY149" s="61">
        <f t="shared" ref="BY149" si="1645">BX149/$BG149</f>
        <v>1.8715705864101768</v>
      </c>
      <c r="BZ149" s="53">
        <v>29361.660000000003</v>
      </c>
      <c r="CA149" s="61">
        <f t="shared" ref="CA149" si="1646">BZ149/$BG149</f>
        <v>2.4293440893577416</v>
      </c>
      <c r="CB149" s="53">
        <f>CB150</f>
        <v>16766.939999999999</v>
      </c>
      <c r="CC149" s="61">
        <f t="shared" ref="CC149" si="1647">CB149/$BG149</f>
        <v>1.3872739683524666</v>
      </c>
      <c r="CD149" s="53">
        <f>CD150</f>
        <v>15130.599999999999</v>
      </c>
      <c r="CE149" s="61">
        <f t="shared" ref="CE149" si="1648">CD149/$BG149</f>
        <v>1.251885406970731</v>
      </c>
      <c r="CF149" s="53">
        <f>CF150</f>
        <v>255311.02</v>
      </c>
      <c r="CG149" s="61">
        <f t="shared" si="1561"/>
        <v>1.7603407453373323</v>
      </c>
    </row>
    <row r="150" spans="1:86" ht="31.5" x14ac:dyDescent="0.25">
      <c r="A150" s="41" t="s">
        <v>104</v>
      </c>
      <c r="B150" s="42">
        <v>113903.790425</v>
      </c>
      <c r="C150" s="42">
        <v>70009.22</v>
      </c>
      <c r="D150" s="43">
        <v>93345.626666666663</v>
      </c>
      <c r="E150" s="43">
        <v>114221.9</v>
      </c>
      <c r="F150" s="43">
        <f t="shared" si="1184"/>
        <v>9518.4916666666668</v>
      </c>
      <c r="G150" s="43">
        <f>SUM(G151:G155)</f>
        <v>8898.18</v>
      </c>
      <c r="H150" s="60">
        <f t="shared" si="1622"/>
        <v>0.93483088619607979</v>
      </c>
      <c r="I150" s="43">
        <f>SUM(I151:I155)</f>
        <v>17613.010000000002</v>
      </c>
      <c r="J150" s="60">
        <f t="shared" si="1623"/>
        <v>1.8503992666905384</v>
      </c>
      <c r="K150" s="43">
        <f>SUM(K151:K155)</f>
        <v>18907.349999999999</v>
      </c>
      <c r="L150" s="60">
        <f t="shared" si="1624"/>
        <v>1.9863808954324869</v>
      </c>
      <c r="M150" s="43">
        <f>SUM(M151:M155)</f>
        <v>30759.440000000002</v>
      </c>
      <c r="N150" s="60">
        <f t="shared" si="1625"/>
        <v>3.2315456142823753</v>
      </c>
      <c r="O150" s="66">
        <f>SUM(O151:O155)</f>
        <v>13888.989999999998</v>
      </c>
      <c r="P150" s="60">
        <f t="shared" si="1597"/>
        <v>1.459158707743436</v>
      </c>
      <c r="Q150" s="66">
        <f>SUM(Q151:Q155)</f>
        <v>9825.93</v>
      </c>
      <c r="R150" s="60">
        <f t="shared" si="1352"/>
        <v>1.0322990599876205</v>
      </c>
      <c r="S150" s="66">
        <f>SUM(S151:S155)</f>
        <v>10898.539999999999</v>
      </c>
      <c r="T150" s="60">
        <f t="shared" si="1339"/>
        <v>1.1449860315753808</v>
      </c>
      <c r="U150" s="66">
        <f>SUM(U151:U155)</f>
        <v>11835.710000000001</v>
      </c>
      <c r="V150" s="60">
        <f t="shared" si="1340"/>
        <v>1.2434438579641909</v>
      </c>
      <c r="W150" s="66">
        <f>SUM(W151:W155)</f>
        <v>5491.920000000001</v>
      </c>
      <c r="X150" s="60">
        <f t="shared" si="881"/>
        <v>0.57697376772755493</v>
      </c>
      <c r="Y150" s="43">
        <f t="shared" si="1598"/>
        <v>128119.06999999999</v>
      </c>
      <c r="Z150" s="60">
        <f t="shared" si="1626"/>
        <v>1.1216681739666385</v>
      </c>
      <c r="AA150" s="43">
        <f t="shared" si="1599"/>
        <v>14235.452222222222</v>
      </c>
      <c r="AB150" s="43">
        <f>SUM(AB151:AB155)</f>
        <v>12071.395555555555</v>
      </c>
      <c r="AD150" s="69">
        <f t="shared" si="1574"/>
        <v>0.84798117875816614</v>
      </c>
      <c r="AG150" s="43">
        <f>SUM(AG151:AG155)</f>
        <v>24857.78</v>
      </c>
      <c r="AH150" s="60">
        <f t="shared" si="1511"/>
        <v>2.0592300107803054</v>
      </c>
      <c r="AI150" s="43">
        <f>SUM(AI151:AI155)</f>
        <v>3062.38</v>
      </c>
      <c r="AJ150" s="60">
        <f t="shared" ref="AJ150" si="1649">AI150/$AB150</f>
        <v>0.25368897787386457</v>
      </c>
      <c r="AK150" s="43">
        <f>SUM(AK151:AK155)</f>
        <v>0</v>
      </c>
      <c r="AL150" s="60">
        <f t="shared" si="1266"/>
        <v>0</v>
      </c>
      <c r="AM150" s="43">
        <f>SUM(AM151:AM155)</f>
        <v>2616.98</v>
      </c>
      <c r="AN150" s="60">
        <f t="shared" si="1267"/>
        <v>0.21679183553848511</v>
      </c>
      <c r="AO150" s="43">
        <f>SUM(AO151:AO155)</f>
        <v>830</v>
      </c>
      <c r="AP150" s="60">
        <f t="shared" si="1268"/>
        <v>6.8757584504636121E-2</v>
      </c>
      <c r="AQ150" s="43">
        <f>SUM(AQ151:AQ155)</f>
        <v>2643.32</v>
      </c>
      <c r="AR150" s="60">
        <f t="shared" si="1269"/>
        <v>0.21897385334071659</v>
      </c>
      <c r="AS150" s="43">
        <f>SUM(AS151:AS155)</f>
        <v>4599.8</v>
      </c>
      <c r="AT150" s="60">
        <f t="shared" si="1314"/>
        <v>0.3810495628968979</v>
      </c>
      <c r="AU150" s="43">
        <f>SUM(AU151:AU155)</f>
        <v>5530.13</v>
      </c>
      <c r="AV150" s="60">
        <f t="shared" si="1315"/>
        <v>0.45811853108026912</v>
      </c>
      <c r="AW150" s="43">
        <f>SUM(AW151:AW155)</f>
        <v>4300.51</v>
      </c>
      <c r="AX150" s="60">
        <f t="shared" si="1316"/>
        <v>0.35625624064823219</v>
      </c>
      <c r="AY150" s="43">
        <f>SUM(AY151:AY155)</f>
        <v>9617.0300000000007</v>
      </c>
      <c r="AZ150" s="60">
        <f t="shared" si="1317"/>
        <v>0.79667922037183225</v>
      </c>
      <c r="BA150" s="43">
        <f t="shared" si="1527"/>
        <v>58057.93</v>
      </c>
      <c r="BB150" s="60">
        <f t="shared" si="1528"/>
        <v>0.40079548475293669</v>
      </c>
      <c r="BC150" s="43">
        <f t="shared" si="1514"/>
        <v>6450.8811111111108</v>
      </c>
      <c r="BD150" s="43">
        <f>SUM(BD151:BD155)</f>
        <v>12086.251377777779</v>
      </c>
      <c r="BE150" s="43">
        <f t="shared" si="1515"/>
        <v>145035.01653333334</v>
      </c>
      <c r="BF150" s="136">
        <v>145035.01653333334</v>
      </c>
      <c r="BG150" s="136">
        <f t="shared" si="1499"/>
        <v>12086.251377777779</v>
      </c>
      <c r="BH150" s="43">
        <f>SUM(BH151:BH155)</f>
        <v>39735.550000000003</v>
      </c>
      <c r="BI150" s="60">
        <f t="shared" si="1500"/>
        <v>3.2876653610778965</v>
      </c>
      <c r="BJ150" s="43">
        <f>SUM(BJ151:BJ155)</f>
        <v>16374.05</v>
      </c>
      <c r="BK150" s="60">
        <f t="shared" si="1500"/>
        <v>1.3547666259950479</v>
      </c>
      <c r="BL150" s="43">
        <f>SUM(BL151:BL155)</f>
        <v>17751.099999999999</v>
      </c>
      <c r="BM150" s="60">
        <f t="shared" ref="BM150" si="1650">BL150/$BG150</f>
        <v>1.4687018700138752</v>
      </c>
      <c r="BN150" s="43">
        <f>SUM(BN151:BN155)</f>
        <v>16813.870000000003</v>
      </c>
      <c r="BO150" s="60">
        <f t="shared" ref="BO150" si="1651">BN150/$BG150</f>
        <v>1.3911567345781501</v>
      </c>
      <c r="BP150" s="43">
        <f>SUM(BP151:BP155)</f>
        <v>36399.47</v>
      </c>
      <c r="BQ150" s="60">
        <f t="shared" ref="BQ150" si="1652">BP150/$BG150</f>
        <v>3.0116426394146818</v>
      </c>
      <c r="BR150" s="43">
        <f>SUM(BR151:BR155)</f>
        <v>14288.539999999999</v>
      </c>
      <c r="BS150" s="60">
        <f t="shared" ref="BS150" si="1653">BR150/$BG150</f>
        <v>1.1822143651812032</v>
      </c>
      <c r="BT150" s="43">
        <f>SUM(BT151:BT155)</f>
        <v>13117.08</v>
      </c>
      <c r="BU150" s="60">
        <f t="shared" ref="BU150" si="1654">BT150/$BG150</f>
        <v>1.0852893581311358</v>
      </c>
      <c r="BV150" s="43">
        <f>SUM(BV151:BV155)</f>
        <v>16951.89</v>
      </c>
      <c r="BW150" s="60">
        <f t="shared" ref="BW150" si="1655">BV150/$BG150</f>
        <v>1.4025763216515885</v>
      </c>
      <c r="BX150" s="43">
        <f>SUM(BX151:BX155)</f>
        <v>22620.27</v>
      </c>
      <c r="BY150" s="60">
        <f t="shared" ref="BY150" si="1656">BX150/$BG150</f>
        <v>1.871570373059628</v>
      </c>
      <c r="BZ150" s="43">
        <v>29361.660000000003</v>
      </c>
      <c r="CA150" s="60">
        <f t="shared" ref="CA150" si="1657">BZ150/$BG150</f>
        <v>2.429343812423546</v>
      </c>
      <c r="CB150" s="43">
        <f>SUM(CB151:CB155)</f>
        <v>16766.939999999999</v>
      </c>
      <c r="CC150" s="60">
        <f t="shared" ref="CC150" si="1658">CB150/$BG150</f>
        <v>1.3872738102095332</v>
      </c>
      <c r="CD150" s="43">
        <f>SUM(CD151:CD155)</f>
        <v>15130.599999999999</v>
      </c>
      <c r="CE150" s="60">
        <f t="shared" ref="CE150" si="1659">CD150/$BG150</f>
        <v>1.2518852642614791</v>
      </c>
      <c r="CF150" s="43">
        <f>SUM(CF151:CF155)</f>
        <v>255311.02</v>
      </c>
      <c r="CG150" s="60">
        <f t="shared" si="1561"/>
        <v>1.7603405446664804</v>
      </c>
    </row>
    <row r="151" spans="1:86" ht="15.75" x14ac:dyDescent="0.25">
      <c r="A151" s="44" t="s">
        <v>105</v>
      </c>
      <c r="B151" s="25">
        <v>7509.5006249999997</v>
      </c>
      <c r="C151" s="26">
        <v>80</v>
      </c>
      <c r="D151" s="26">
        <v>106.66666666666667</v>
      </c>
      <c r="E151" s="25">
        <v>5000</v>
      </c>
      <c r="F151" s="25">
        <f t="shared" si="1184"/>
        <v>416.66666666666669</v>
      </c>
      <c r="G151" s="25">
        <v>2443</v>
      </c>
      <c r="H151" s="58">
        <f t="shared" si="1622"/>
        <v>5.8632</v>
      </c>
      <c r="I151" s="25">
        <v>5400</v>
      </c>
      <c r="J151" s="58">
        <f t="shared" si="1623"/>
        <v>12.959999999999999</v>
      </c>
      <c r="K151" s="25">
        <v>2489</v>
      </c>
      <c r="L151" s="58">
        <f t="shared" si="1624"/>
        <v>5.9735999999999994</v>
      </c>
      <c r="M151" s="25">
        <v>2403.3200000000002</v>
      </c>
      <c r="N151" s="58">
        <f t="shared" si="1625"/>
        <v>5.7679679999999998</v>
      </c>
      <c r="O151" s="64">
        <v>2498</v>
      </c>
      <c r="P151" s="58">
        <f t="shared" si="1597"/>
        <v>5.9951999999999996</v>
      </c>
      <c r="Q151" s="64"/>
      <c r="R151" s="58">
        <f t="shared" si="1352"/>
        <v>0</v>
      </c>
      <c r="S151" s="64"/>
      <c r="T151" s="58">
        <f t="shared" si="1339"/>
        <v>0</v>
      </c>
      <c r="U151" s="64"/>
      <c r="V151" s="58">
        <f t="shared" si="1340"/>
        <v>0</v>
      </c>
      <c r="W151" s="64">
        <v>0</v>
      </c>
      <c r="X151" s="58">
        <f t="shared" si="881"/>
        <v>0</v>
      </c>
      <c r="Y151" s="25">
        <f t="shared" si="1598"/>
        <v>15233.32</v>
      </c>
      <c r="Z151" s="58">
        <f t="shared" si="1626"/>
        <v>3.0466639999999998</v>
      </c>
      <c r="AA151" s="25">
        <f t="shared" si="1599"/>
        <v>1692.5911111111111</v>
      </c>
      <c r="AB151" s="71">
        <v>1500</v>
      </c>
      <c r="AD151" s="69">
        <f t="shared" si="1574"/>
        <v>0.88621521769384481</v>
      </c>
      <c r="AG151" s="25"/>
      <c r="AH151" s="58">
        <f t="shared" si="1511"/>
        <v>0</v>
      </c>
      <c r="AI151" s="25">
        <v>140</v>
      </c>
      <c r="AJ151" s="58">
        <f t="shared" ref="AJ151" si="1660">AI151/$AB151</f>
        <v>9.3333333333333338E-2</v>
      </c>
      <c r="AK151" s="25"/>
      <c r="AL151" s="58">
        <f t="shared" si="1266"/>
        <v>0</v>
      </c>
      <c r="AM151" s="25">
        <v>350</v>
      </c>
      <c r="AN151" s="58">
        <f t="shared" si="1267"/>
        <v>0.23333333333333334</v>
      </c>
      <c r="AO151" s="25"/>
      <c r="AP151" s="58">
        <f t="shared" si="1268"/>
        <v>0</v>
      </c>
      <c r="AQ151" s="25"/>
      <c r="AR151" s="58">
        <f t="shared" si="1269"/>
        <v>0</v>
      </c>
      <c r="AS151" s="25"/>
      <c r="AT151" s="58">
        <f t="shared" si="1314"/>
        <v>0</v>
      </c>
      <c r="AU151" s="25"/>
      <c r="AV151" s="58">
        <f t="shared" si="1315"/>
        <v>0</v>
      </c>
      <c r="AW151" s="25"/>
      <c r="AX151" s="58">
        <f t="shared" si="1316"/>
        <v>0</v>
      </c>
      <c r="AY151" s="25"/>
      <c r="AZ151" s="58">
        <f t="shared" si="1317"/>
        <v>0</v>
      </c>
      <c r="BA151" s="25">
        <f t="shared" si="1527"/>
        <v>490</v>
      </c>
      <c r="BB151" s="58">
        <f t="shared" si="1528"/>
        <v>2.7222222222222221E-2</v>
      </c>
      <c r="BC151" s="25">
        <f t="shared" si="1514"/>
        <v>54.444444444444443</v>
      </c>
      <c r="BD151" s="25">
        <f>AB151</f>
        <v>1500</v>
      </c>
      <c r="BE151" s="25">
        <f t="shared" si="1515"/>
        <v>18000</v>
      </c>
      <c r="BF151" s="129">
        <v>18000</v>
      </c>
      <c r="BG151" s="129">
        <f t="shared" si="1499"/>
        <v>1500</v>
      </c>
      <c r="BH151" s="25"/>
      <c r="BI151" s="58">
        <f t="shared" si="1500"/>
        <v>0</v>
      </c>
      <c r="BJ151" s="25"/>
      <c r="BK151" s="58">
        <f t="shared" si="1500"/>
        <v>0</v>
      </c>
      <c r="BL151" s="25"/>
      <c r="BM151" s="58">
        <f t="shared" ref="BM151" si="1661">BL151/$BG151</f>
        <v>0</v>
      </c>
      <c r="BN151" s="25"/>
      <c r="BO151" s="58">
        <f t="shared" ref="BO151" si="1662">BN151/$BG151</f>
        <v>0</v>
      </c>
      <c r="BP151" s="25"/>
      <c r="BQ151" s="58">
        <f t="shared" ref="BQ151" si="1663">BP151/$BG151</f>
        <v>0</v>
      </c>
      <c r="BR151" s="25">
        <v>2632.5</v>
      </c>
      <c r="BS151" s="58">
        <f t="shared" ref="BS151" si="1664">BR151/$BG151</f>
        <v>1.7549999999999999</v>
      </c>
      <c r="BT151" s="25">
        <v>280</v>
      </c>
      <c r="BU151" s="58">
        <f t="shared" ref="BU151" si="1665">BT151/$BG151</f>
        <v>0.18666666666666668</v>
      </c>
      <c r="BV151" s="25">
        <v>730</v>
      </c>
      <c r="BW151" s="58">
        <f t="shared" ref="BW151" si="1666">BV151/$BG151</f>
        <v>0.48666666666666669</v>
      </c>
      <c r="BX151" s="25"/>
      <c r="BY151" s="58">
        <f t="shared" ref="BY151" si="1667">BX151/$BG151</f>
        <v>0</v>
      </c>
      <c r="BZ151" s="25"/>
      <c r="CA151" s="58">
        <f t="shared" ref="CA151" si="1668">BZ151/$BG151</f>
        <v>0</v>
      </c>
      <c r="CB151" s="25"/>
      <c r="CC151" s="58">
        <f t="shared" ref="CC151" si="1669">CB151/$BG151</f>
        <v>0</v>
      </c>
      <c r="CD151" s="25"/>
      <c r="CE151" s="58">
        <f t="shared" ref="CE151" si="1670">CD151/$BG151</f>
        <v>0</v>
      </c>
      <c r="CF151" s="25">
        <f t="shared" ref="CF151:CF155" si="1671">BH151+BJ151+BL151+BN151+BP151+BR151+BT151+BV151+BX151+BZ151+CB151+CD151</f>
        <v>3642.5</v>
      </c>
      <c r="CG151" s="58">
        <f t="shared" si="1561"/>
        <v>0.2023611111111111</v>
      </c>
    </row>
    <row r="152" spans="1:86" ht="30" x14ac:dyDescent="0.25">
      <c r="A152" s="44" t="s">
        <v>106</v>
      </c>
      <c r="B152" s="25">
        <v>70000</v>
      </c>
      <c r="C152" s="26">
        <v>34770.720000000001</v>
      </c>
      <c r="D152" s="26">
        <v>46360.959999999999</v>
      </c>
      <c r="E152" s="25">
        <v>60000</v>
      </c>
      <c r="F152" s="25">
        <f t="shared" si="1184"/>
        <v>5000</v>
      </c>
      <c r="G152" s="25">
        <f>353.1+8.3+350+96</f>
        <v>807.40000000000009</v>
      </c>
      <c r="H152" s="58">
        <f t="shared" si="1622"/>
        <v>0.16148000000000001</v>
      </c>
      <c r="I152" s="25">
        <f>7363.89-940.9</f>
        <v>6422.9900000000007</v>
      </c>
      <c r="J152" s="58">
        <f t="shared" si="1623"/>
        <v>1.2845980000000001</v>
      </c>
      <c r="K152" s="25">
        <v>12293.58</v>
      </c>
      <c r="L152" s="58">
        <f t="shared" si="1624"/>
        <v>2.4587159999999999</v>
      </c>
      <c r="M152" s="25">
        <v>14997.87</v>
      </c>
      <c r="N152" s="58">
        <f t="shared" si="1625"/>
        <v>2.999574</v>
      </c>
      <c r="O152" s="64">
        <v>7407.28</v>
      </c>
      <c r="P152" s="58">
        <f t="shared" si="1597"/>
        <v>1.4814559999999999</v>
      </c>
      <c r="Q152" s="64">
        <f>6753.98-250</f>
        <v>6503.98</v>
      </c>
      <c r="R152" s="58">
        <f t="shared" si="1352"/>
        <v>1.3007959999999998</v>
      </c>
      <c r="S152" s="64">
        <v>9454.7999999999993</v>
      </c>
      <c r="T152" s="58">
        <f t="shared" si="1339"/>
        <v>1.8909599999999998</v>
      </c>
      <c r="U152" s="64">
        <v>7354.66</v>
      </c>
      <c r="V152" s="58">
        <f t="shared" si="1340"/>
        <v>1.4709319999999999</v>
      </c>
      <c r="W152" s="64">
        <f>6023-618.45-79.9</f>
        <v>5324.6500000000005</v>
      </c>
      <c r="X152" s="58">
        <f t="shared" si="881"/>
        <v>1.0649300000000002</v>
      </c>
      <c r="Y152" s="25">
        <f t="shared" si="1598"/>
        <v>70567.210000000006</v>
      </c>
      <c r="Z152" s="58">
        <f t="shared" si="1626"/>
        <v>1.1761201666666667</v>
      </c>
      <c r="AA152" s="25">
        <f t="shared" si="1599"/>
        <v>7840.8011111111118</v>
      </c>
      <c r="AB152" s="71">
        <v>7000</v>
      </c>
      <c r="AD152" s="69">
        <f t="shared" si="1574"/>
        <v>0.89276591776832315</v>
      </c>
      <c r="AG152" s="25">
        <v>2989.98</v>
      </c>
      <c r="AH152" s="58">
        <f t="shared" si="1511"/>
        <v>0.42714000000000002</v>
      </c>
      <c r="AI152" s="25">
        <v>170.68</v>
      </c>
      <c r="AJ152" s="58">
        <f t="shared" ref="AJ152" si="1672">AI152/$AB152</f>
        <v>2.4382857142857144E-2</v>
      </c>
      <c r="AK152" s="25"/>
      <c r="AL152" s="58">
        <f t="shared" si="1266"/>
        <v>0</v>
      </c>
      <c r="AM152" s="25">
        <v>1432.38</v>
      </c>
      <c r="AN152" s="58">
        <f t="shared" si="1267"/>
        <v>0.2046257142857143</v>
      </c>
      <c r="AO152" s="25">
        <v>830</v>
      </c>
      <c r="AP152" s="58">
        <f t="shared" si="1268"/>
        <v>0.11857142857142858</v>
      </c>
      <c r="AQ152" s="25">
        <v>1765.72</v>
      </c>
      <c r="AR152" s="58">
        <f t="shared" si="1269"/>
        <v>0.2522457142857143</v>
      </c>
      <c r="AS152" s="25">
        <v>4599.8</v>
      </c>
      <c r="AT152" s="58">
        <f t="shared" si="1314"/>
        <v>0.65711428571428576</v>
      </c>
      <c r="AU152" s="25">
        <v>1600</v>
      </c>
      <c r="AV152" s="58">
        <f t="shared" si="1315"/>
        <v>0.22857142857142856</v>
      </c>
      <c r="AW152" s="25">
        <v>2488.69</v>
      </c>
      <c r="AX152" s="58">
        <f t="shared" si="1316"/>
        <v>0.35552714285714287</v>
      </c>
      <c r="AY152" s="25">
        <v>3944.65</v>
      </c>
      <c r="AZ152" s="58">
        <f t="shared" si="1317"/>
        <v>0.56352142857142862</v>
      </c>
      <c r="BA152" s="25">
        <f t="shared" si="1527"/>
        <v>19821.900000000001</v>
      </c>
      <c r="BB152" s="58">
        <f t="shared" si="1528"/>
        <v>0.23597500000000002</v>
      </c>
      <c r="BC152" s="25">
        <f t="shared" si="1514"/>
        <v>2202.4333333333334</v>
      </c>
      <c r="BD152" s="25">
        <f>AB152</f>
        <v>7000</v>
      </c>
      <c r="BE152" s="25">
        <f t="shared" si="1515"/>
        <v>84000</v>
      </c>
      <c r="BF152" s="129">
        <v>84000</v>
      </c>
      <c r="BG152" s="129">
        <f t="shared" si="1499"/>
        <v>7000</v>
      </c>
      <c r="BH152" s="25">
        <v>14911.95</v>
      </c>
      <c r="BI152" s="58">
        <f t="shared" si="1500"/>
        <v>2.1302785714285717</v>
      </c>
      <c r="BJ152" s="25">
        <v>10195.700000000001</v>
      </c>
      <c r="BK152" s="58">
        <f t="shared" si="1500"/>
        <v>1.4565285714285716</v>
      </c>
      <c r="BL152" s="25">
        <f>18463.2-734.9-13370-533.2-340</f>
        <v>3485.0999999999995</v>
      </c>
      <c r="BM152" s="58">
        <f t="shared" ref="BM152" si="1673">BL152/$BG152</f>
        <v>0.49787142857142852</v>
      </c>
      <c r="BN152" s="25">
        <v>2975.99</v>
      </c>
      <c r="BO152" s="58">
        <f t="shared" ref="BO152" si="1674">BN152/$BG152</f>
        <v>0.42514142857142856</v>
      </c>
      <c r="BP152" s="25">
        <f>11830.79-1199.7-43.12-1900</f>
        <v>8687.9699999999993</v>
      </c>
      <c r="BQ152" s="58">
        <f t="shared" ref="BQ152" si="1675">BP152/$BG152</f>
        <v>1.2411385714285714</v>
      </c>
      <c r="BR152" s="25">
        <v>4843.74</v>
      </c>
      <c r="BS152" s="58">
        <f t="shared" ref="BS152" si="1676">BR152/$BG152</f>
        <v>0.6919628571428571</v>
      </c>
      <c r="BT152" s="25">
        <v>3265.6</v>
      </c>
      <c r="BU152" s="58">
        <f t="shared" ref="BU152" si="1677">BT152/$BG152</f>
        <v>0.46651428571428571</v>
      </c>
      <c r="BV152" s="25">
        <f>9182.31-800-350-1679.44</f>
        <v>6352.869999999999</v>
      </c>
      <c r="BW152" s="58">
        <f t="shared" ref="BW152" si="1678">BV152/$BG152</f>
        <v>0.90755285714285705</v>
      </c>
      <c r="BX152" s="25">
        <f>14043.63-2173</f>
        <v>11870.63</v>
      </c>
      <c r="BY152" s="58">
        <f t="shared" ref="BY152" si="1679">BX152/$BG152</f>
        <v>1.6958042857142857</v>
      </c>
      <c r="BZ152" s="25">
        <v>5874.21</v>
      </c>
      <c r="CA152" s="58">
        <f t="shared" ref="CA152" si="1680">BZ152/$BG152</f>
        <v>0.83917285714285716</v>
      </c>
      <c r="CB152" s="25">
        <v>10715.48</v>
      </c>
      <c r="CC152" s="58">
        <f t="shared" ref="CC152" si="1681">CB152/$BG152</f>
        <v>1.530782857142857</v>
      </c>
      <c r="CD152" s="25">
        <f>1495.15+10396.69-5105.6</f>
        <v>6786.24</v>
      </c>
      <c r="CE152" s="58">
        <f t="shared" ref="CE152" si="1682">CD152/$BG152</f>
        <v>0.96946285714285707</v>
      </c>
      <c r="CF152" s="25">
        <f t="shared" si="1671"/>
        <v>89965.48000000001</v>
      </c>
      <c r="CG152" s="58">
        <f t="shared" si="1561"/>
        <v>1.0710176190476193</v>
      </c>
    </row>
    <row r="153" spans="1:86" ht="15.75" x14ac:dyDescent="0.25">
      <c r="A153" s="44" t="s">
        <v>107</v>
      </c>
      <c r="B153" s="25">
        <v>10000</v>
      </c>
      <c r="C153" s="26">
        <v>8683.36</v>
      </c>
      <c r="D153" s="26">
        <v>11577.813333333334</v>
      </c>
      <c r="E153" s="25">
        <v>12156.704000000002</v>
      </c>
      <c r="F153" s="25">
        <f t="shared" si="1184"/>
        <v>1013.0586666666668</v>
      </c>
      <c r="G153" s="25">
        <v>2005.11</v>
      </c>
      <c r="H153" s="58">
        <f t="shared" si="1622"/>
        <v>1.9792634582531576</v>
      </c>
      <c r="I153" s="25">
        <v>4395.0200000000004</v>
      </c>
      <c r="J153" s="58">
        <f t="shared" si="1623"/>
        <v>4.3383667151885907</v>
      </c>
      <c r="K153" s="25">
        <v>605.84</v>
      </c>
      <c r="L153" s="58">
        <f t="shared" si="1624"/>
        <v>0.59803051879851643</v>
      </c>
      <c r="M153" s="25">
        <v>8483.25</v>
      </c>
      <c r="N153" s="58">
        <f t="shared" si="1625"/>
        <v>8.3738980565784917</v>
      </c>
      <c r="O153" s="64">
        <v>734.75</v>
      </c>
      <c r="P153" s="58">
        <f t="shared" si="1597"/>
        <v>0.72527882557640611</v>
      </c>
      <c r="Q153" s="64">
        <v>2721.95</v>
      </c>
      <c r="R153" s="58">
        <f t="shared" si="1352"/>
        <v>2.6868631497484841</v>
      </c>
      <c r="S153" s="64">
        <v>195.1</v>
      </c>
      <c r="T153" s="58">
        <f t="shared" si="1339"/>
        <v>0.19258509543376229</v>
      </c>
      <c r="U153" s="64">
        <v>1523.85</v>
      </c>
      <c r="V153" s="58">
        <f t="shared" si="1340"/>
        <v>1.5042070613876917</v>
      </c>
      <c r="W153" s="64">
        <v>167.27</v>
      </c>
      <c r="X153" s="58">
        <f t="shared" ref="X153:X160" si="1683">W153/$F153</f>
        <v>0.16511383348644501</v>
      </c>
      <c r="Y153" s="25">
        <f t="shared" si="1598"/>
        <v>20832.14</v>
      </c>
      <c r="Z153" s="58">
        <f t="shared" si="1626"/>
        <v>1.713633892870962</v>
      </c>
      <c r="AA153" s="25">
        <f t="shared" si="1599"/>
        <v>2314.6822222222222</v>
      </c>
      <c r="AB153" s="71">
        <v>1700</v>
      </c>
      <c r="AD153" s="69">
        <f t="shared" si="1574"/>
        <v>0.73444206884170327</v>
      </c>
      <c r="AG153" s="25">
        <v>1600</v>
      </c>
      <c r="AH153" s="58">
        <f t="shared" si="1511"/>
        <v>0.94117647058823528</v>
      </c>
      <c r="AI153" s="25">
        <v>996.3</v>
      </c>
      <c r="AJ153" s="58">
        <f t="shared" ref="AJ153" si="1684">AI153/$AB153</f>
        <v>0.58605882352941174</v>
      </c>
      <c r="AK153" s="25"/>
      <c r="AL153" s="58">
        <f t="shared" si="1266"/>
        <v>0</v>
      </c>
      <c r="AM153" s="25">
        <v>163.6</v>
      </c>
      <c r="AN153" s="58">
        <f t="shared" si="1267"/>
        <v>9.6235294117647058E-2</v>
      </c>
      <c r="AO153" s="25"/>
      <c r="AP153" s="58">
        <f t="shared" si="1268"/>
        <v>0</v>
      </c>
      <c r="AQ153" s="25">
        <v>877.6</v>
      </c>
      <c r="AR153" s="58">
        <f t="shared" si="1269"/>
        <v>0.51623529411764713</v>
      </c>
      <c r="AS153" s="25"/>
      <c r="AT153" s="58">
        <f t="shared" si="1314"/>
        <v>0</v>
      </c>
      <c r="AU153" s="25">
        <v>2390.13</v>
      </c>
      <c r="AV153" s="58">
        <f t="shared" si="1315"/>
        <v>1.4059588235294118</v>
      </c>
      <c r="AW153" s="25">
        <v>516</v>
      </c>
      <c r="AX153" s="58">
        <f t="shared" si="1316"/>
        <v>0.30352941176470588</v>
      </c>
      <c r="AY153" s="25">
        <v>4717.38</v>
      </c>
      <c r="AZ153" s="58">
        <f t="shared" si="1317"/>
        <v>2.7749294117647061</v>
      </c>
      <c r="BA153" s="25">
        <f t="shared" si="1527"/>
        <v>11261.01</v>
      </c>
      <c r="BB153" s="58">
        <f t="shared" si="1528"/>
        <v>0.55201029411764702</v>
      </c>
      <c r="BC153" s="25">
        <f t="shared" si="1514"/>
        <v>1251.2233333333334</v>
      </c>
      <c r="BD153" s="25">
        <f>AB153</f>
        <v>1700</v>
      </c>
      <c r="BE153" s="25">
        <f t="shared" si="1515"/>
        <v>20400</v>
      </c>
      <c r="BF153" s="129">
        <v>20400</v>
      </c>
      <c r="BG153" s="129">
        <f t="shared" si="1499"/>
        <v>1700</v>
      </c>
      <c r="BH153" s="25"/>
      <c r="BI153" s="58">
        <f t="shared" si="1500"/>
        <v>0</v>
      </c>
      <c r="BJ153" s="25">
        <v>668.3</v>
      </c>
      <c r="BK153" s="58">
        <f t="shared" si="1500"/>
        <v>0.39311764705882352</v>
      </c>
      <c r="BL153" s="25">
        <v>290</v>
      </c>
      <c r="BM153" s="58">
        <f t="shared" ref="BM153" si="1685">BL153/$BG153</f>
        <v>0.17058823529411765</v>
      </c>
      <c r="BN153" s="25">
        <v>1779.55</v>
      </c>
      <c r="BO153" s="58">
        <f t="shared" ref="BO153" si="1686">BN153/$BG153</f>
        <v>1.0467941176470588</v>
      </c>
      <c r="BP153" s="25">
        <f>1900+17</f>
        <v>1917</v>
      </c>
      <c r="BQ153" s="58">
        <f t="shared" ref="BQ153" si="1687">BP153/$BG153</f>
        <v>1.1276470588235294</v>
      </c>
      <c r="BR153" s="25">
        <v>841.9</v>
      </c>
      <c r="BS153" s="58">
        <f t="shared" ref="BS153" si="1688">BR153/$BG153</f>
        <v>0.49523529411764705</v>
      </c>
      <c r="BT153" s="25"/>
      <c r="BU153" s="58">
        <f t="shared" ref="BU153" si="1689">BT153/$BG153</f>
        <v>0</v>
      </c>
      <c r="BV153" s="25">
        <v>2188.02</v>
      </c>
      <c r="BW153" s="58">
        <f t="shared" ref="BW153" si="1690">BV153/$BG153</f>
        <v>1.2870705882352942</v>
      </c>
      <c r="BX153" s="25">
        <f>4028.6-181.8</f>
        <v>3846.7999999999997</v>
      </c>
      <c r="BY153" s="58">
        <f t="shared" ref="BY153" si="1691">BX153/$BG153</f>
        <v>2.2628235294117647</v>
      </c>
      <c r="BZ153" s="25">
        <v>2332.3000000000002</v>
      </c>
      <c r="CA153" s="58">
        <f t="shared" ref="CA153" si="1692">BZ153/$BG153</f>
        <v>1.3719411764705884</v>
      </c>
      <c r="CB153" s="25">
        <v>166.82</v>
      </c>
      <c r="CC153" s="58">
        <f t="shared" ref="CC153" si="1693">CB153/$BG153</f>
        <v>9.8129411764705882E-2</v>
      </c>
      <c r="CD153" s="25">
        <f>4848-32</f>
        <v>4816</v>
      </c>
      <c r="CE153" s="58">
        <f t="shared" ref="CE153" si="1694">CD153/$BG153</f>
        <v>2.8329411764705883</v>
      </c>
      <c r="CF153" s="25">
        <f t="shared" si="1671"/>
        <v>18846.689999999999</v>
      </c>
      <c r="CG153" s="58">
        <f t="shared" si="1561"/>
        <v>0.92385735294117644</v>
      </c>
    </row>
    <row r="154" spans="1:86" ht="15.75" x14ac:dyDescent="0.25">
      <c r="A154" s="44" t="s">
        <v>108</v>
      </c>
      <c r="B154" s="25">
        <v>14394.289799999997</v>
      </c>
      <c r="C154" s="26">
        <v>13476</v>
      </c>
      <c r="D154" s="26">
        <v>17968</v>
      </c>
      <c r="E154" s="25">
        <v>18866.400000000001</v>
      </c>
      <c r="F154" s="25">
        <f t="shared" si="1184"/>
        <v>1572.2</v>
      </c>
      <c r="G154" s="25">
        <v>140</v>
      </c>
      <c r="H154" s="58">
        <f t="shared" si="1622"/>
        <v>8.9047195013357075E-2</v>
      </c>
      <c r="I154" s="25"/>
      <c r="J154" s="58">
        <f t="shared" si="1623"/>
        <v>0</v>
      </c>
      <c r="K154" s="25"/>
      <c r="L154" s="58">
        <f t="shared" si="1624"/>
        <v>0</v>
      </c>
      <c r="M154" s="25"/>
      <c r="N154" s="58">
        <f t="shared" si="1625"/>
        <v>0</v>
      </c>
      <c r="O154" s="64">
        <v>984</v>
      </c>
      <c r="P154" s="58">
        <f t="shared" si="1597"/>
        <v>0.62587457066530972</v>
      </c>
      <c r="Q154" s="64"/>
      <c r="R154" s="58">
        <f t="shared" si="1352"/>
        <v>0</v>
      </c>
      <c r="S154" s="64"/>
      <c r="T154" s="58">
        <f t="shared" si="1339"/>
        <v>0</v>
      </c>
      <c r="U154" s="64">
        <v>2090</v>
      </c>
      <c r="V154" s="58">
        <f t="shared" si="1340"/>
        <v>1.3293474112708306</v>
      </c>
      <c r="W154" s="64"/>
      <c r="X154" s="58">
        <f t="shared" si="1683"/>
        <v>0</v>
      </c>
      <c r="Y154" s="25">
        <f t="shared" si="1598"/>
        <v>3214</v>
      </c>
      <c r="Z154" s="58">
        <f t="shared" si="1626"/>
        <v>0.17035576474579145</v>
      </c>
      <c r="AA154" s="25">
        <f t="shared" si="1599"/>
        <v>357.11111111111109</v>
      </c>
      <c r="AB154" s="71">
        <f t="shared" ref="AB154" si="1695">AA154*$AC$7</f>
        <v>371.39555555555552</v>
      </c>
      <c r="AD154" s="69">
        <f t="shared" si="1574"/>
        <v>1.04</v>
      </c>
      <c r="AG154" s="25">
        <v>13000</v>
      </c>
      <c r="AH154" s="58">
        <f t="shared" si="1511"/>
        <v>35.003111387678906</v>
      </c>
      <c r="AI154" s="25">
        <v>1050</v>
      </c>
      <c r="AJ154" s="58">
        <f t="shared" ref="AJ154" si="1696">AI154/$AB154</f>
        <v>2.8271743813125272</v>
      </c>
      <c r="AK154" s="25"/>
      <c r="AL154" s="58">
        <f t="shared" si="1266"/>
        <v>0</v>
      </c>
      <c r="AM154" s="25"/>
      <c r="AN154" s="58">
        <f t="shared" si="1267"/>
        <v>0</v>
      </c>
      <c r="AO154" s="25"/>
      <c r="AP154" s="58">
        <f t="shared" si="1268"/>
        <v>0</v>
      </c>
      <c r="AQ154" s="25"/>
      <c r="AR154" s="58">
        <f t="shared" si="1269"/>
        <v>0</v>
      </c>
      <c r="AS154" s="25"/>
      <c r="AT154" s="58">
        <f t="shared" si="1314"/>
        <v>0</v>
      </c>
      <c r="AU154" s="25"/>
      <c r="AV154" s="58">
        <f t="shared" si="1315"/>
        <v>0</v>
      </c>
      <c r="AW154" s="25"/>
      <c r="AX154" s="58">
        <f t="shared" si="1316"/>
        <v>0</v>
      </c>
      <c r="AY154" s="25"/>
      <c r="AZ154" s="58">
        <f t="shared" si="1317"/>
        <v>0</v>
      </c>
      <c r="BA154" s="25">
        <f t="shared" si="1527"/>
        <v>14050</v>
      </c>
      <c r="BB154" s="58">
        <f t="shared" si="1528"/>
        <v>3.1525238140826199</v>
      </c>
      <c r="BC154" s="25">
        <f t="shared" si="1514"/>
        <v>1561.1111111111111</v>
      </c>
      <c r="BD154" s="25">
        <f>AB154*BA1</f>
        <v>386.25137777777775</v>
      </c>
      <c r="BE154" s="25">
        <f t="shared" si="1515"/>
        <v>4635.0165333333334</v>
      </c>
      <c r="BF154" s="129">
        <v>4635.0165333333334</v>
      </c>
      <c r="BG154" s="129">
        <f t="shared" si="1499"/>
        <v>386.2513777777778</v>
      </c>
      <c r="BH154" s="25">
        <v>21940.6</v>
      </c>
      <c r="BI154" s="58">
        <f t="shared" si="1500"/>
        <v>56.803939771635186</v>
      </c>
      <c r="BJ154" s="25">
        <v>1900</v>
      </c>
      <c r="BK154" s="58">
        <f t="shared" si="1500"/>
        <v>4.9190763044815027</v>
      </c>
      <c r="BL154" s="25">
        <v>13370</v>
      </c>
      <c r="BM154" s="58">
        <f t="shared" ref="BM154" si="1697">BL154/$BG154</f>
        <v>34.614763258377728</v>
      </c>
      <c r="BN154" s="25">
        <v>5117</v>
      </c>
      <c r="BO154" s="58">
        <f t="shared" ref="BO154" si="1698">BN154/$BG154</f>
        <v>13.247849184227288</v>
      </c>
      <c r="BP154" s="25">
        <v>24392.5</v>
      </c>
      <c r="BQ154" s="58">
        <f t="shared" ref="BQ154" si="1699">BP154/$BG154</f>
        <v>63.151878293192134</v>
      </c>
      <c r="BR154" s="25">
        <v>4680.3999999999996</v>
      </c>
      <c r="BS154" s="58">
        <f t="shared" ref="BS154" si="1700">BR154/$BG154</f>
        <v>12.117497229208013</v>
      </c>
      <c r="BT154" s="25">
        <v>6845</v>
      </c>
      <c r="BU154" s="58">
        <f t="shared" ref="BU154" si="1701">BT154/$BG154</f>
        <v>17.721619633776783</v>
      </c>
      <c r="BV154" s="25">
        <v>6691</v>
      </c>
      <c r="BW154" s="58">
        <f t="shared" ref="BW154" si="1702">BV154/$BG154</f>
        <v>17.322915554360911</v>
      </c>
      <c r="BX154" s="25">
        <v>4861.78</v>
      </c>
      <c r="BY154" s="58">
        <f t="shared" ref="BY154" si="1703">BX154/$BG154</f>
        <v>12.587087787158989</v>
      </c>
      <c r="BZ154" s="25">
        <v>11729</v>
      </c>
      <c r="CA154" s="58">
        <f t="shared" ref="CA154" si="1704">BZ154/$BG154</f>
        <v>30.366234723822917</v>
      </c>
      <c r="CB154" s="25">
        <v>2060</v>
      </c>
      <c r="CC154" s="58">
        <f t="shared" ref="CC154" si="1705">CB154/$BG154</f>
        <v>5.3333143090694186</v>
      </c>
      <c r="CD154" s="25">
        <f>4254.36-726</f>
        <v>3528.3599999999997</v>
      </c>
      <c r="CE154" s="58">
        <f t="shared" ref="CE154" si="1706">CD154/$BG154</f>
        <v>9.1348800366738701</v>
      </c>
      <c r="CF154" s="25">
        <f t="shared" si="1671"/>
        <v>107115.64</v>
      </c>
      <c r="CG154" s="58">
        <f t="shared" si="1561"/>
        <v>23.110088007165395</v>
      </c>
    </row>
    <row r="155" spans="1:86" ht="15.75" x14ac:dyDescent="0.25">
      <c r="A155" s="54" t="s">
        <v>109</v>
      </c>
      <c r="B155" s="25">
        <v>12000</v>
      </c>
      <c r="C155" s="26">
        <v>12999.14</v>
      </c>
      <c r="D155" s="26">
        <v>17332.186666666665</v>
      </c>
      <c r="E155" s="25">
        <v>18198.795999999998</v>
      </c>
      <c r="F155" s="25">
        <f t="shared" si="1184"/>
        <v>1516.5663333333332</v>
      </c>
      <c r="G155" s="25">
        <f>400+254.2+2848.47</f>
        <v>3502.67</v>
      </c>
      <c r="H155" s="58">
        <f t="shared" si="1622"/>
        <v>2.309605536542088</v>
      </c>
      <c r="I155" s="25">
        <v>1395</v>
      </c>
      <c r="J155" s="58">
        <f t="shared" si="1623"/>
        <v>0.91984107080490385</v>
      </c>
      <c r="K155" s="25">
        <v>3518.93</v>
      </c>
      <c r="L155" s="58">
        <f t="shared" si="1624"/>
        <v>2.3203271249372763</v>
      </c>
      <c r="M155" s="25">
        <v>4875</v>
      </c>
      <c r="N155" s="58">
        <f t="shared" si="1625"/>
        <v>3.2144983657160617</v>
      </c>
      <c r="O155" s="64">
        <v>2264.96</v>
      </c>
      <c r="P155" s="58">
        <f t="shared" si="1597"/>
        <v>1.4934790191614875</v>
      </c>
      <c r="Q155" s="64">
        <v>600</v>
      </c>
      <c r="R155" s="58">
        <f t="shared" si="1352"/>
        <v>0.39563056808813069</v>
      </c>
      <c r="S155" s="64">
        <v>1248.6400000000001</v>
      </c>
      <c r="T155" s="58">
        <f t="shared" si="1339"/>
        <v>0.82333358756260588</v>
      </c>
      <c r="U155" s="64">
        <v>867.2</v>
      </c>
      <c r="V155" s="58">
        <f t="shared" si="1340"/>
        <v>0.5718180477433783</v>
      </c>
      <c r="W155" s="64"/>
      <c r="X155" s="58">
        <f t="shared" si="1683"/>
        <v>0</v>
      </c>
      <c r="Y155" s="25">
        <f t="shared" si="1598"/>
        <v>18272.400000000001</v>
      </c>
      <c r="Z155" s="58">
        <f t="shared" si="1626"/>
        <v>1.0040444433796611</v>
      </c>
      <c r="AA155" s="25">
        <f t="shared" si="1599"/>
        <v>2030.2666666666669</v>
      </c>
      <c r="AB155" s="71">
        <v>1500</v>
      </c>
      <c r="AD155" s="69">
        <f t="shared" si="1574"/>
        <v>0.7388192027319892</v>
      </c>
      <c r="AG155" s="25">
        <v>7267.8</v>
      </c>
      <c r="AH155" s="58">
        <f t="shared" si="1511"/>
        <v>4.8452000000000002</v>
      </c>
      <c r="AI155" s="25">
        <v>705.4</v>
      </c>
      <c r="AJ155" s="58">
        <f t="shared" ref="AJ155" si="1707">AI155/$AB155</f>
        <v>0.47026666666666667</v>
      </c>
      <c r="AK155" s="25"/>
      <c r="AL155" s="58">
        <f t="shared" si="1266"/>
        <v>0</v>
      </c>
      <c r="AM155" s="25">
        <v>671</v>
      </c>
      <c r="AN155" s="58">
        <f t="shared" si="1267"/>
        <v>0.44733333333333336</v>
      </c>
      <c r="AO155" s="25"/>
      <c r="AP155" s="58">
        <f t="shared" si="1268"/>
        <v>0</v>
      </c>
      <c r="AQ155" s="25"/>
      <c r="AR155" s="58">
        <f t="shared" si="1269"/>
        <v>0</v>
      </c>
      <c r="AS155" s="25"/>
      <c r="AT155" s="58">
        <f t="shared" si="1314"/>
        <v>0</v>
      </c>
      <c r="AU155" s="25">
        <v>1540</v>
      </c>
      <c r="AV155" s="58">
        <f t="shared" si="1315"/>
        <v>1.0266666666666666</v>
      </c>
      <c r="AW155" s="25">
        <v>1295.82</v>
      </c>
      <c r="AX155" s="58">
        <f t="shared" si="1316"/>
        <v>0.86387999999999998</v>
      </c>
      <c r="AY155" s="25">
        <v>955</v>
      </c>
      <c r="AZ155" s="58">
        <f t="shared" si="1317"/>
        <v>0.63666666666666671</v>
      </c>
      <c r="BA155" s="25">
        <f t="shared" si="1527"/>
        <v>12435.02</v>
      </c>
      <c r="BB155" s="58">
        <f t="shared" si="1528"/>
        <v>0.69083444444444442</v>
      </c>
      <c r="BC155" s="25">
        <f t="shared" si="1514"/>
        <v>1381.6688888888889</v>
      </c>
      <c r="BD155" s="25">
        <f>AB155</f>
        <v>1500</v>
      </c>
      <c r="BE155" s="25">
        <f t="shared" si="1515"/>
        <v>18000</v>
      </c>
      <c r="BF155" s="129">
        <v>18000</v>
      </c>
      <c r="BG155" s="129">
        <f t="shared" si="1499"/>
        <v>1500</v>
      </c>
      <c r="BH155" s="25">
        <v>2883</v>
      </c>
      <c r="BI155" s="58">
        <f t="shared" si="1500"/>
        <v>1.9219999999999999</v>
      </c>
      <c r="BJ155" s="25">
        <v>3610.05</v>
      </c>
      <c r="BK155" s="58">
        <f t="shared" si="1500"/>
        <v>2.4067000000000003</v>
      </c>
      <c r="BL155" s="25">
        <v>606</v>
      </c>
      <c r="BM155" s="58">
        <f t="shared" ref="BM155" si="1708">BL155/$BG155</f>
        <v>0.40400000000000003</v>
      </c>
      <c r="BN155" s="25">
        <v>6941.33</v>
      </c>
      <c r="BO155" s="58">
        <f t="shared" ref="BO155" si="1709">BN155/$BG155</f>
        <v>4.6275533333333332</v>
      </c>
      <c r="BP155" s="25">
        <f>512+890</f>
        <v>1402</v>
      </c>
      <c r="BQ155" s="58">
        <f t="shared" ref="BQ155" si="1710">BP155/$BG155</f>
        <v>0.93466666666666665</v>
      </c>
      <c r="BR155" s="25">
        <v>1290</v>
      </c>
      <c r="BS155" s="58">
        <f t="shared" ref="BS155" si="1711">BR155/$BG155</f>
        <v>0.86</v>
      </c>
      <c r="BT155" s="25">
        <v>2726.48</v>
      </c>
      <c r="BU155" s="58">
        <f t="shared" ref="BU155" si="1712">BT155/$BG155</f>
        <v>1.8176533333333333</v>
      </c>
      <c r="BV155" s="25">
        <v>990</v>
      </c>
      <c r="BW155" s="58">
        <f t="shared" ref="BW155" si="1713">BV155/$BG155</f>
        <v>0.66</v>
      </c>
      <c r="BX155" s="25">
        <f>4405.06-2364</f>
        <v>2041.0600000000004</v>
      </c>
      <c r="BY155" s="58">
        <f t="shared" ref="BY155" si="1714">BX155/$BG155</f>
        <v>1.360706666666667</v>
      </c>
      <c r="BZ155" s="25">
        <v>9426.15</v>
      </c>
      <c r="CA155" s="58">
        <f t="shared" ref="CA155" si="1715">BZ155/$BG155</f>
        <v>6.2840999999999996</v>
      </c>
      <c r="CB155" s="25">
        <v>3824.64</v>
      </c>
      <c r="CC155" s="58">
        <f t="shared" ref="CC155" si="1716">CB155/$BG155</f>
        <v>2.54976</v>
      </c>
      <c r="CD155" s="25">
        <v>0</v>
      </c>
      <c r="CE155" s="58">
        <f t="shared" ref="CE155" si="1717">CD155/$BG155</f>
        <v>0</v>
      </c>
      <c r="CF155" s="25">
        <f t="shared" si="1671"/>
        <v>35740.71</v>
      </c>
      <c r="CG155" s="58">
        <f t="shared" si="1561"/>
        <v>1.985595</v>
      </c>
    </row>
    <row r="156" spans="1:86" ht="15.75" x14ac:dyDescent="0.25">
      <c r="A156" s="41" t="s">
        <v>110</v>
      </c>
      <c r="B156" s="42">
        <v>80583.111900000004</v>
      </c>
      <c r="C156" s="42">
        <v>34281.199999999997</v>
      </c>
      <c r="D156" s="43">
        <v>45708.26666666667</v>
      </c>
      <c r="E156" s="43">
        <v>83993.68</v>
      </c>
      <c r="F156" s="43">
        <f t="shared" si="1184"/>
        <v>6999.4733333333324</v>
      </c>
      <c r="G156" s="43">
        <f>SUM(G157:G160)</f>
        <v>3919.37</v>
      </c>
      <c r="H156" s="60">
        <f t="shared" si="1622"/>
        <v>0.55995212973166553</v>
      </c>
      <c r="I156" s="43">
        <f>SUM(I157:I160)</f>
        <v>2857.78</v>
      </c>
      <c r="J156" s="60">
        <f t="shared" si="1623"/>
        <v>0.40828500430032361</v>
      </c>
      <c r="K156" s="43">
        <f>SUM(K157:K160)</f>
        <v>2581.37</v>
      </c>
      <c r="L156" s="60">
        <f t="shared" si="1624"/>
        <v>0.36879489028222129</v>
      </c>
      <c r="M156" s="43">
        <f>SUM(M157:M160)</f>
        <v>3565.54</v>
      </c>
      <c r="N156" s="60">
        <f t="shared" si="1625"/>
        <v>0.5094011835176171</v>
      </c>
      <c r="O156" s="66">
        <f>SUM(O157:O160)</f>
        <v>5480.64</v>
      </c>
      <c r="P156" s="60">
        <f t="shared" si="1597"/>
        <v>0.78300748342018134</v>
      </c>
      <c r="Q156" s="66">
        <f>SUM(Q157:Q160)</f>
        <v>4264.9399999999996</v>
      </c>
      <c r="R156" s="60">
        <f t="shared" si="1352"/>
        <v>0.60932298715808142</v>
      </c>
      <c r="S156" s="66">
        <f>SUM(S157:S160)</f>
        <v>4503.7</v>
      </c>
      <c r="T156" s="60">
        <f t="shared" si="1339"/>
        <v>0.64343412504369379</v>
      </c>
      <c r="U156" s="66">
        <f>SUM(U157:U160)</f>
        <v>3077.9199999999996</v>
      </c>
      <c r="V156" s="60">
        <f t="shared" si="1340"/>
        <v>0.43973594203754379</v>
      </c>
      <c r="W156" s="66">
        <f>SUM(W157:W160)</f>
        <v>3120.54</v>
      </c>
      <c r="X156" s="60">
        <f t="shared" si="1683"/>
        <v>0.44582497159310086</v>
      </c>
      <c r="Y156" s="43">
        <f t="shared" si="1598"/>
        <v>33371.799999999996</v>
      </c>
      <c r="Z156" s="60">
        <f t="shared" si="1626"/>
        <v>0.39731322642370231</v>
      </c>
      <c r="AA156" s="43">
        <f t="shared" si="1599"/>
        <v>3707.9777777777772</v>
      </c>
      <c r="AB156" s="43">
        <f>SUM(AB157:AB160)</f>
        <v>8856.29688888889</v>
      </c>
      <c r="AD156" s="69">
        <f t="shared" si="1574"/>
        <v>2.3884438957443117</v>
      </c>
      <c r="AG156" s="43">
        <f>SUM(AG157:AG160)</f>
        <v>3355.34</v>
      </c>
      <c r="AH156" s="60">
        <f t="shared" si="1511"/>
        <v>0.3788648960277754</v>
      </c>
      <c r="AI156" s="43">
        <f>SUM(AI157:AI160)</f>
        <v>3575.14</v>
      </c>
      <c r="AJ156" s="60">
        <f t="shared" ref="AJ156" si="1718">AI156/$AB156</f>
        <v>0.40368339553807986</v>
      </c>
      <c r="AK156" s="43">
        <f>SUM(AK157:AK160)</f>
        <v>0</v>
      </c>
      <c r="AL156" s="60">
        <f t="shared" si="1266"/>
        <v>0</v>
      </c>
      <c r="AM156" s="43">
        <f>SUM(AM157:AM160)</f>
        <v>2880.06</v>
      </c>
      <c r="AN156" s="60">
        <f t="shared" si="1267"/>
        <v>0.32519912511213611</v>
      </c>
      <c r="AO156" s="43">
        <f>SUM(AO157:AO160)</f>
        <v>1769.8700000000001</v>
      </c>
      <c r="AP156" s="60">
        <f t="shared" si="1268"/>
        <v>0.19984311978299632</v>
      </c>
      <c r="AQ156" s="43">
        <f>SUM(AQ157:AQ160)</f>
        <v>1975.62</v>
      </c>
      <c r="AR156" s="60">
        <f t="shared" si="1269"/>
        <v>0.22307517744562208</v>
      </c>
      <c r="AS156" s="43">
        <f>SUM(AS157:AS160)</f>
        <v>1589.6899999999998</v>
      </c>
      <c r="AT156" s="60">
        <f t="shared" si="1314"/>
        <v>0.17949827336913524</v>
      </c>
      <c r="AU156" s="43">
        <f>SUM(AU157:AU160)</f>
        <v>2160.64</v>
      </c>
      <c r="AV156" s="60">
        <f t="shared" si="1315"/>
        <v>0.24396652767035609</v>
      </c>
      <c r="AW156" s="43">
        <f>SUM(AW157:AW160)</f>
        <v>2176.7499999999995</v>
      </c>
      <c r="AX156" s="60">
        <f t="shared" si="1316"/>
        <v>0.24578557237968729</v>
      </c>
      <c r="AY156" s="43">
        <f>SUM(AY157:AY160)</f>
        <v>1811.72</v>
      </c>
      <c r="AZ156" s="60">
        <f t="shared" si="1317"/>
        <v>0.20456857112287913</v>
      </c>
      <c r="BA156" s="43">
        <f t="shared" si="1527"/>
        <v>21294.83</v>
      </c>
      <c r="BB156" s="60">
        <f t="shared" si="1528"/>
        <v>0.20037372153738897</v>
      </c>
      <c r="BC156" s="43">
        <f t="shared" si="1514"/>
        <v>2366.0922222222225</v>
      </c>
      <c r="BD156" s="43">
        <f>SUM(BD157:BD160)</f>
        <v>8856.29688888889</v>
      </c>
      <c r="BE156" s="43">
        <f t="shared" si="1515"/>
        <v>106275.56266666668</v>
      </c>
      <c r="BF156" s="136">
        <f>SUM(BF157:BF160)</f>
        <v>46275.562666666665</v>
      </c>
      <c r="BG156" s="136">
        <f t="shared" si="1499"/>
        <v>3856.2968888888886</v>
      </c>
      <c r="BH156" s="43">
        <f>SUM(BH157:BH160)</f>
        <v>3471.9700000000003</v>
      </c>
      <c r="BI156" s="60">
        <f t="shared" si="1500"/>
        <v>0.90033783705911086</v>
      </c>
      <c r="BJ156" s="43">
        <f>SUM(BJ157:BJ160)</f>
        <v>2675.22</v>
      </c>
      <c r="BK156" s="60">
        <f t="shared" si="1500"/>
        <v>0.69372770745636458</v>
      </c>
      <c r="BL156" s="43">
        <f>SUM(BL157:BL160)</f>
        <v>2665.4300000000003</v>
      </c>
      <c r="BM156" s="60">
        <f t="shared" ref="BM156" si="1719">BL156/$BG156</f>
        <v>0.69118900250649229</v>
      </c>
      <c r="BN156" s="43">
        <f>SUM(BN157:BN160)</f>
        <v>2247.4199999999996</v>
      </c>
      <c r="BO156" s="60">
        <f t="shared" ref="BO156" si="1720">BN156/$BG156</f>
        <v>0.58279226541801521</v>
      </c>
      <c r="BP156" s="43">
        <f>SUM(BP157:BP160)</f>
        <v>2795.23</v>
      </c>
      <c r="BQ156" s="60">
        <f t="shared" ref="BQ156" si="1721">BP156/$BG156</f>
        <v>0.72484823667334053</v>
      </c>
      <c r="BR156" s="43">
        <f>SUM(BR157:BR160)</f>
        <v>2460.0500000000002</v>
      </c>
      <c r="BS156" s="60">
        <f t="shared" ref="BS156" si="1722">BR156/$BG156</f>
        <v>0.63793065494726786</v>
      </c>
      <c r="BT156" s="43">
        <f>SUM(BT157:BT160)</f>
        <v>3072.28</v>
      </c>
      <c r="BU156" s="60">
        <f t="shared" ref="BU156" si="1723">BT156/$BG156</f>
        <v>0.79669177154179471</v>
      </c>
      <c r="BV156" s="43">
        <f>SUM(BV157:BV160)</f>
        <v>2543.23</v>
      </c>
      <c r="BW156" s="60">
        <f t="shared" ref="BW156" si="1724">BV156/$BG156</f>
        <v>0.65950057095650083</v>
      </c>
      <c r="BX156" s="43">
        <f>SUM(BX157:BX160)</f>
        <v>3319.15</v>
      </c>
      <c r="BY156" s="60">
        <f t="shared" ref="BY156" si="1725">BX156/$BG156</f>
        <v>0.86070914549225586</v>
      </c>
      <c r="BZ156" s="43">
        <v>3332.7599999999998</v>
      </c>
      <c r="CA156" s="60">
        <f t="shared" ref="CA156" si="1726">BZ156/$BG156</f>
        <v>0.86423843807323275</v>
      </c>
      <c r="CB156" s="43">
        <f>SUM(CB157:CB160)</f>
        <v>4067.8100000000004</v>
      </c>
      <c r="CC156" s="60">
        <f t="shared" ref="CC156" si="1727">CB156/$BG156</f>
        <v>1.0548487622207052</v>
      </c>
      <c r="CD156" s="43">
        <f>SUM(CD157:CD160)</f>
        <v>3861.33</v>
      </c>
      <c r="CE156" s="60">
        <f t="shared" ref="CE156" si="1728">CD156/$BG156</f>
        <v>1.001305166914304</v>
      </c>
      <c r="CF156" s="43">
        <f>SUM(CF157:CF160)</f>
        <v>36511.879999999997</v>
      </c>
      <c r="CG156" s="60">
        <f t="shared" si="1561"/>
        <v>0.78900996327161532</v>
      </c>
    </row>
    <row r="157" spans="1:86" ht="15.75" x14ac:dyDescent="0.25">
      <c r="A157" s="44" t="s">
        <v>111</v>
      </c>
      <c r="B157" s="25">
        <v>17732.051149999999</v>
      </c>
      <c r="C157" s="26">
        <v>6941.79</v>
      </c>
      <c r="D157" s="26">
        <v>9255.7199999999993</v>
      </c>
      <c r="E157" s="25">
        <v>9718.5059999999994</v>
      </c>
      <c r="F157" s="25">
        <f t="shared" si="1184"/>
        <v>809.87549999999999</v>
      </c>
      <c r="G157" s="25">
        <v>1792.17</v>
      </c>
      <c r="H157" s="58">
        <f t="shared" si="1622"/>
        <v>2.2128956858183759</v>
      </c>
      <c r="I157" s="25">
        <v>940</v>
      </c>
      <c r="J157" s="58">
        <f t="shared" si="1623"/>
        <v>1.1606722267805361</v>
      </c>
      <c r="K157" s="25"/>
      <c r="L157" s="58">
        <f t="shared" si="1624"/>
        <v>0</v>
      </c>
      <c r="M157" s="25">
        <v>803.59</v>
      </c>
      <c r="N157" s="58">
        <f t="shared" si="1625"/>
        <v>0.99223893055167123</v>
      </c>
      <c r="O157" s="64">
        <v>2867.47</v>
      </c>
      <c r="P157" s="58">
        <f t="shared" si="1597"/>
        <v>3.5406306277940249</v>
      </c>
      <c r="Q157" s="64">
        <v>1349.11</v>
      </c>
      <c r="R157" s="58">
        <f t="shared" si="1352"/>
        <v>1.6658239445445626</v>
      </c>
      <c r="S157" s="64">
        <f>527.5-62.5</f>
        <v>465</v>
      </c>
      <c r="T157" s="58">
        <f t="shared" si="1339"/>
        <v>0.57416232494994601</v>
      </c>
      <c r="U157" s="64">
        <v>678.91</v>
      </c>
      <c r="V157" s="58">
        <f t="shared" si="1340"/>
        <v>0.83828934200380179</v>
      </c>
      <c r="W157" s="64">
        <v>1267.71</v>
      </c>
      <c r="X157" s="58">
        <f t="shared" si="1683"/>
        <v>1.5653146687361206</v>
      </c>
      <c r="Y157" s="25">
        <f t="shared" si="1598"/>
        <v>10163.959999999999</v>
      </c>
      <c r="Z157" s="58">
        <f t="shared" si="1626"/>
        <v>1.0458356459315865</v>
      </c>
      <c r="AA157" s="25">
        <f t="shared" si="1599"/>
        <v>1129.3288888888887</v>
      </c>
      <c r="AB157" s="73">
        <f>AA157*AC7</f>
        <v>1174.5020444444444</v>
      </c>
      <c r="AD157" s="69">
        <f t="shared" si="1574"/>
        <v>1.04</v>
      </c>
      <c r="AG157" s="25">
        <v>984.84</v>
      </c>
      <c r="AH157" s="58">
        <f>AG157/$AB157</f>
        <v>0.83851705891737538</v>
      </c>
      <c r="AI157" s="25">
        <v>1158.23</v>
      </c>
      <c r="AJ157" s="58">
        <f>AI157/$AB157</f>
        <v>0.98614558014486786</v>
      </c>
      <c r="AK157" s="25"/>
      <c r="AL157" s="58">
        <f>AK157/$AB157</f>
        <v>0</v>
      </c>
      <c r="AM157" s="25">
        <v>626.11</v>
      </c>
      <c r="AN157" s="58">
        <f>AM157/$AB157</f>
        <v>0.53308549181466824</v>
      </c>
      <c r="AO157" s="25"/>
      <c r="AP157" s="58">
        <f>AO157/$AB157</f>
        <v>0</v>
      </c>
      <c r="AQ157" s="25"/>
      <c r="AR157" s="58">
        <f>AQ157/$AB157</f>
        <v>0</v>
      </c>
      <c r="AS157" s="25"/>
      <c r="AT157" s="58">
        <f>AS157/$AB157</f>
        <v>0</v>
      </c>
      <c r="AU157" s="25">
        <v>571.42999999999995</v>
      </c>
      <c r="AV157" s="58">
        <f>AU157/$AB157</f>
        <v>0.48652959158559334</v>
      </c>
      <c r="AW157" s="25">
        <v>326.95999999999998</v>
      </c>
      <c r="AX157" s="58">
        <f>AW157/$AB157</f>
        <v>0.2783818057589304</v>
      </c>
      <c r="AY157" s="25">
        <v>93.65</v>
      </c>
      <c r="AZ157" s="58">
        <f>AY157/$AB157</f>
        <v>7.9735919101186187E-2</v>
      </c>
      <c r="BA157" s="25">
        <f t="shared" si="1527"/>
        <v>3761.2200000000003</v>
      </c>
      <c r="BB157" s="58">
        <f t="shared" si="1528"/>
        <v>0.26686628727688516</v>
      </c>
      <c r="BC157" s="25">
        <f t="shared" si="1514"/>
        <v>417.91333333333336</v>
      </c>
      <c r="BD157" s="25">
        <f>AB157</f>
        <v>1174.5020444444444</v>
      </c>
      <c r="BE157" s="25">
        <f t="shared" si="1515"/>
        <v>14094.024533333333</v>
      </c>
      <c r="BF157" s="129">
        <f>BE157</f>
        <v>14094.024533333333</v>
      </c>
      <c r="BG157" s="129">
        <f t="shared" si="1499"/>
        <v>1174.5020444444444</v>
      </c>
      <c r="BH157" s="25">
        <v>750.13</v>
      </c>
      <c r="BI157" s="58">
        <f t="shared" si="1500"/>
        <v>0.63867917774023264</v>
      </c>
      <c r="BJ157" s="25"/>
      <c r="BK157" s="58">
        <f t="shared" si="1500"/>
        <v>0</v>
      </c>
      <c r="BL157" s="25">
        <v>580.13</v>
      </c>
      <c r="BM157" s="58">
        <f t="shared" ref="BM157" si="1729">BL157/$BG157</f>
        <v>0.49393698609899778</v>
      </c>
      <c r="BN157" s="25"/>
      <c r="BO157" s="58">
        <f t="shared" ref="BO157" si="1730">BN157/$BG157</f>
        <v>0</v>
      </c>
      <c r="BP157" s="25">
        <v>474.4</v>
      </c>
      <c r="BQ157" s="58">
        <f t="shared" ref="BQ157" si="1731">BP157/$BG157</f>
        <v>0.40391585714471673</v>
      </c>
      <c r="BR157" s="25">
        <v>388.97</v>
      </c>
      <c r="BS157" s="58">
        <f t="shared" ref="BS157" si="1732">BR157/$BG157</f>
        <v>0.33117864872171265</v>
      </c>
      <c r="BT157" s="25">
        <v>849.13</v>
      </c>
      <c r="BU157" s="58">
        <f t="shared" ref="BU157" si="1733">BT157/$BG157</f>
        <v>0.72297021875483425</v>
      </c>
      <c r="BV157" s="25">
        <v>70.23</v>
      </c>
      <c r="BW157" s="58">
        <f t="shared" ref="BW157" si="1734">BV157/$BG157</f>
        <v>5.979555364096429E-2</v>
      </c>
      <c r="BX157" s="25">
        <v>947.62</v>
      </c>
      <c r="BY157" s="58">
        <f t="shared" ref="BY157" si="1735">BX157/$BG157</f>
        <v>0.80682703319451199</v>
      </c>
      <c r="BZ157" s="25">
        <v>698.26</v>
      </c>
      <c r="CA157" s="58">
        <f t="shared" ref="CA157" si="1736">BZ157/$BG157</f>
        <v>0.59451578079652179</v>
      </c>
      <c r="CB157" s="25">
        <v>1279.9100000000001</v>
      </c>
      <c r="CC157" s="58">
        <f t="shared" ref="CC157" si="1737">CB157/$BG157</f>
        <v>1.0897469323737237</v>
      </c>
      <c r="CD157" s="25">
        <v>758.71</v>
      </c>
      <c r="CE157" s="58">
        <f t="shared" ref="CE157" si="1738">CD157/$BG157</f>
        <v>0.64598440129483148</v>
      </c>
      <c r="CF157" s="25">
        <f t="shared" ref="CF157:CF160" si="1739">BH157+BJ157+BL157+BN157+BP157+BR157+BT157+BV157+BX157+BZ157+CB157+CD157</f>
        <v>6797.49</v>
      </c>
      <c r="CG157" s="58">
        <f t="shared" si="1561"/>
        <v>0.48229588248008726</v>
      </c>
    </row>
    <row r="158" spans="1:86" ht="15.75" x14ac:dyDescent="0.25">
      <c r="A158" s="47" t="s">
        <v>112</v>
      </c>
      <c r="B158" s="25">
        <v>25000</v>
      </c>
      <c r="C158" s="26">
        <v>26317.56</v>
      </c>
      <c r="D158" s="26">
        <v>35090.080000000002</v>
      </c>
      <c r="E158" s="25">
        <v>36844.584000000003</v>
      </c>
      <c r="F158" s="25">
        <f t="shared" si="1184"/>
        <v>3070.3820000000001</v>
      </c>
      <c r="G158" s="25">
        <f>1862.2+102.11</f>
        <v>1964.31</v>
      </c>
      <c r="H158" s="58">
        <f t="shared" si="1622"/>
        <v>0.63976078546578241</v>
      </c>
      <c r="I158" s="25">
        <f>1756.34+10.56+15.06</f>
        <v>1781.9599999999998</v>
      </c>
      <c r="J158" s="58">
        <f t="shared" si="1623"/>
        <v>0.58037078122526764</v>
      </c>
      <c r="K158" s="25">
        <f>2542.89+38.41+0.07</f>
        <v>2581.37</v>
      </c>
      <c r="L158" s="58">
        <f t="shared" si="1624"/>
        <v>0.84073252123025732</v>
      </c>
      <c r="M158" s="25">
        <f>2590.49+30.18+2.11</f>
        <v>2622.7799999999997</v>
      </c>
      <c r="N158" s="58">
        <f t="shared" si="1625"/>
        <v>0.85421944240162939</v>
      </c>
      <c r="O158" s="64">
        <f>2432.55+0.35+40.65</f>
        <v>2473.5500000000002</v>
      </c>
      <c r="P158" s="58">
        <f t="shared" si="1597"/>
        <v>0.80561636955922755</v>
      </c>
      <c r="Q158" s="64">
        <f>2605.78+128.66+12.15+50</f>
        <v>2796.59</v>
      </c>
      <c r="R158" s="58">
        <f t="shared" si="1352"/>
        <v>0.91082803377560184</v>
      </c>
      <c r="S158" s="64">
        <f>3927.08</f>
        <v>3927.08</v>
      </c>
      <c r="T158" s="58">
        <f t="shared" si="1339"/>
        <v>1.2790200046769424</v>
      </c>
      <c r="U158" s="64">
        <v>2305.29</v>
      </c>
      <c r="V158" s="58">
        <f t="shared" si="1340"/>
        <v>0.75081537085613448</v>
      </c>
      <c r="W158" s="64">
        <v>1776.44</v>
      </c>
      <c r="X158" s="58">
        <f t="shared" si="1683"/>
        <v>0.57857295932558228</v>
      </c>
      <c r="Y158" s="25">
        <f t="shared" si="1598"/>
        <v>22229.37</v>
      </c>
      <c r="Z158" s="58">
        <f t="shared" si="1626"/>
        <v>0.60332802237636873</v>
      </c>
      <c r="AA158" s="25">
        <f t="shared" si="1599"/>
        <v>2469.9299999999998</v>
      </c>
      <c r="AB158" s="73">
        <f>AA158*AC7</f>
        <v>2568.7271999999998</v>
      </c>
      <c r="AD158" s="69">
        <f t="shared" si="1574"/>
        <v>1.04</v>
      </c>
      <c r="AG158" s="25">
        <v>2304.6799999999998</v>
      </c>
      <c r="AH158" s="58">
        <f t="shared" ref="AH158:AH160" si="1740">AG158/$AB158</f>
        <v>0.89720699029464868</v>
      </c>
      <c r="AI158" s="25">
        <f>2110.22+11.92+70.34</f>
        <v>2192.48</v>
      </c>
      <c r="AJ158" s="58">
        <f t="shared" ref="AJ158" si="1741">AI158/$AB158</f>
        <v>0.85352777048493134</v>
      </c>
      <c r="AK158" s="25"/>
      <c r="AL158" s="58">
        <f t="shared" ref="AL158:AL160" si="1742">AK158/$AB158</f>
        <v>0</v>
      </c>
      <c r="AM158" s="25">
        <v>2218.06</v>
      </c>
      <c r="AN158" s="58">
        <f t="shared" ref="AN158:AN160" si="1743">AM158/$AB158</f>
        <v>0.86348600972497203</v>
      </c>
      <c r="AO158" s="25">
        <f>1660.39</f>
        <v>1660.39</v>
      </c>
      <c r="AP158" s="58">
        <f t="shared" ref="AP158:AP160" si="1744">AO158/$AB158</f>
        <v>0.64638627254774284</v>
      </c>
      <c r="AQ158" s="25">
        <v>1861.8</v>
      </c>
      <c r="AR158" s="58">
        <f t="shared" ref="AR158:AR160" si="1745">AQ158/$AB158</f>
        <v>0.72479475438263752</v>
      </c>
      <c r="AS158" s="25">
        <v>1450.6</v>
      </c>
      <c r="AT158" s="58">
        <f t="shared" ref="AT158:AT160" si="1746">AS158/$AB158</f>
        <v>0.56471547465219352</v>
      </c>
      <c r="AU158" s="25">
        <f>1439.81+149.4</f>
        <v>1589.21</v>
      </c>
      <c r="AV158" s="58">
        <f t="shared" ref="AV158:AV160" si="1747">AU158/$AB158</f>
        <v>0.61867605092514311</v>
      </c>
      <c r="AW158" s="25">
        <f>1701.75+56.86</f>
        <v>1758.61</v>
      </c>
      <c r="AX158" s="58">
        <f t="shared" ref="AX158:AX160" si="1748">AW158/$AB158</f>
        <v>0.68462310828491246</v>
      </c>
      <c r="AY158" s="25">
        <v>1718.07</v>
      </c>
      <c r="AZ158" s="58">
        <f t="shared" ref="AZ158:AZ160" si="1749">AY158/$AB158</f>
        <v>0.66884097307024271</v>
      </c>
      <c r="BA158" s="25">
        <f t="shared" si="1527"/>
        <v>16753.899999999998</v>
      </c>
      <c r="BB158" s="58">
        <f t="shared" si="1528"/>
        <v>0.54352145036395194</v>
      </c>
      <c r="BC158" s="25">
        <f t="shared" si="1514"/>
        <v>1861.5444444444443</v>
      </c>
      <c r="BD158" s="25">
        <f>AB158</f>
        <v>2568.7271999999998</v>
      </c>
      <c r="BE158" s="25">
        <f t="shared" si="1515"/>
        <v>30824.7264</v>
      </c>
      <c r="BF158" s="129">
        <f t="shared" ref="BF158:BF160" si="1750">BE158</f>
        <v>30824.7264</v>
      </c>
      <c r="BG158" s="129">
        <f t="shared" si="1499"/>
        <v>2568.7271999999998</v>
      </c>
      <c r="BH158" s="25">
        <f>1832.12+29.98+482.98+118.48</f>
        <v>2463.56</v>
      </c>
      <c r="BI158" s="58">
        <f t="shared" si="1500"/>
        <v>0.95905863417493309</v>
      </c>
      <c r="BJ158" s="25">
        <v>2536.1799999999998</v>
      </c>
      <c r="BK158" s="58">
        <f t="shared" si="1500"/>
        <v>0.98732944471487671</v>
      </c>
      <c r="BL158" s="25">
        <f>2085.3</f>
        <v>2085.3000000000002</v>
      </c>
      <c r="BM158" s="58">
        <f t="shared" ref="BM158" si="1751">BL158/$BG158</f>
        <v>0.81180282592873243</v>
      </c>
      <c r="BN158" s="25">
        <v>2089.9699999999998</v>
      </c>
      <c r="BO158" s="58">
        <f t="shared" ref="BO158" si="1752">BN158/$BG158</f>
        <v>0.81362084693150749</v>
      </c>
      <c r="BP158" s="25">
        <f>2030.05+50.86+239.92</f>
        <v>2320.83</v>
      </c>
      <c r="BQ158" s="58">
        <f t="shared" ref="BQ158" si="1753">BP158/$BG158</f>
        <v>0.90349415072180495</v>
      </c>
      <c r="BR158" s="25">
        <v>1767.07</v>
      </c>
      <c r="BS158" s="58">
        <f t="shared" ref="BS158" si="1754">BR158/$BG158</f>
        <v>0.68791656817430835</v>
      </c>
      <c r="BT158" s="25">
        <v>1908.29</v>
      </c>
      <c r="BU158" s="58">
        <f t="shared" ref="BU158" si="1755">BT158/$BG158</f>
        <v>0.74289321185994373</v>
      </c>
      <c r="BV158" s="25">
        <v>2118.1</v>
      </c>
      <c r="BW158" s="58">
        <f t="shared" ref="BW158" si="1756">BV158/$BG158</f>
        <v>0.82457179571267825</v>
      </c>
      <c r="BX158" s="25">
        <v>1939.65</v>
      </c>
      <c r="BY158" s="58">
        <f t="shared" ref="BY158" si="1757">BX158/$BG158</f>
        <v>0.75510159272654576</v>
      </c>
      <c r="BZ158" s="25">
        <v>2208.0700000000002</v>
      </c>
      <c r="CA158" s="58">
        <f t="shared" ref="CA158" si="1758">BZ158/$BG158</f>
        <v>0.85959692411089828</v>
      </c>
      <c r="CB158" s="25">
        <v>2787.9</v>
      </c>
      <c r="CC158" s="58">
        <f t="shared" ref="CC158" si="1759">CB158/$BG158</f>
        <v>1.0853235018494765</v>
      </c>
      <c r="CD158" s="25">
        <v>3102.62</v>
      </c>
      <c r="CE158" s="58">
        <f t="shared" ref="CE158" si="1760">CD158/$BG158</f>
        <v>1.2078433241178745</v>
      </c>
      <c r="CF158" s="25">
        <f t="shared" si="1739"/>
        <v>27327.54</v>
      </c>
      <c r="CG158" s="58">
        <f t="shared" si="1561"/>
        <v>0.88654606841863159</v>
      </c>
    </row>
    <row r="159" spans="1:86" ht="15.75" x14ac:dyDescent="0.25">
      <c r="A159" s="44" t="s">
        <v>113</v>
      </c>
      <c r="B159" s="25">
        <v>36000</v>
      </c>
      <c r="C159" s="26"/>
      <c r="D159" s="26">
        <v>0</v>
      </c>
      <c r="E159" s="25">
        <v>36000</v>
      </c>
      <c r="F159" s="25">
        <f t="shared" si="1184"/>
        <v>3000</v>
      </c>
      <c r="G159" s="25"/>
      <c r="H159" s="58">
        <f t="shared" si="1622"/>
        <v>0</v>
      </c>
      <c r="I159" s="25"/>
      <c r="J159" s="58">
        <f t="shared" si="1623"/>
        <v>0</v>
      </c>
      <c r="K159" s="25"/>
      <c r="L159" s="58">
        <f t="shared" si="1624"/>
        <v>0</v>
      </c>
      <c r="M159" s="25"/>
      <c r="N159" s="58">
        <f t="shared" si="1625"/>
        <v>0</v>
      </c>
      <c r="O159" s="64"/>
      <c r="P159" s="58">
        <f t="shared" si="1597"/>
        <v>0</v>
      </c>
      <c r="Q159" s="64"/>
      <c r="R159" s="58">
        <f t="shared" si="1352"/>
        <v>0</v>
      </c>
      <c r="S159" s="64"/>
      <c r="T159" s="58">
        <f t="shared" si="1339"/>
        <v>0</v>
      </c>
      <c r="U159" s="64"/>
      <c r="V159" s="58">
        <f t="shared" si="1340"/>
        <v>0</v>
      </c>
      <c r="W159" s="64"/>
      <c r="X159" s="58">
        <f t="shared" si="1683"/>
        <v>0</v>
      </c>
      <c r="Y159" s="25">
        <f t="shared" si="1598"/>
        <v>0</v>
      </c>
      <c r="Z159" s="58">
        <f t="shared" si="1626"/>
        <v>0</v>
      </c>
      <c r="AA159" s="25">
        <f t="shared" si="1599"/>
        <v>0</v>
      </c>
      <c r="AB159" s="73">
        <v>5000</v>
      </c>
      <c r="AD159" s="69"/>
      <c r="AG159" s="25"/>
      <c r="AH159" s="58">
        <f t="shared" si="1740"/>
        <v>0</v>
      </c>
      <c r="AI159" s="25"/>
      <c r="AJ159" s="58">
        <f t="shared" ref="AJ159" si="1761">AI159/$AB159</f>
        <v>0</v>
      </c>
      <c r="AK159" s="25"/>
      <c r="AL159" s="58">
        <f t="shared" si="1742"/>
        <v>0</v>
      </c>
      <c r="AM159" s="25"/>
      <c r="AN159" s="58">
        <f t="shared" si="1743"/>
        <v>0</v>
      </c>
      <c r="AO159" s="25"/>
      <c r="AP159" s="58">
        <f t="shared" si="1744"/>
        <v>0</v>
      </c>
      <c r="AQ159" s="25"/>
      <c r="AR159" s="58">
        <f t="shared" si="1745"/>
        <v>0</v>
      </c>
      <c r="AS159" s="25"/>
      <c r="AT159" s="58">
        <f t="shared" si="1746"/>
        <v>0</v>
      </c>
      <c r="AU159" s="25"/>
      <c r="AV159" s="58">
        <f t="shared" si="1747"/>
        <v>0</v>
      </c>
      <c r="AW159" s="25"/>
      <c r="AX159" s="58">
        <f t="shared" si="1748"/>
        <v>0</v>
      </c>
      <c r="AY159" s="25"/>
      <c r="AZ159" s="58">
        <f t="shared" si="1749"/>
        <v>0</v>
      </c>
      <c r="BA159" s="25">
        <f t="shared" si="1527"/>
        <v>0</v>
      </c>
      <c r="BB159" s="58">
        <f t="shared" si="1528"/>
        <v>0</v>
      </c>
      <c r="BC159" s="25">
        <f t="shared" si="1514"/>
        <v>0</v>
      </c>
      <c r="BD159" s="25">
        <f>AB159</f>
        <v>5000</v>
      </c>
      <c r="BE159" s="25">
        <f t="shared" si="1515"/>
        <v>60000</v>
      </c>
      <c r="BF159" s="129"/>
      <c r="BG159" s="129">
        <f t="shared" si="1499"/>
        <v>0</v>
      </c>
      <c r="BH159" s="25"/>
      <c r="BI159" s="58">
        <v>0</v>
      </c>
      <c r="BJ159" s="25"/>
      <c r="BK159" s="58">
        <v>0</v>
      </c>
      <c r="BL159" s="25"/>
      <c r="BM159" s="58" t="e">
        <f t="shared" ref="BM159" si="1762">BL159/$BG159</f>
        <v>#DIV/0!</v>
      </c>
      <c r="BN159" s="25"/>
      <c r="BO159" s="58" t="e">
        <f t="shared" ref="BO159" si="1763">BN159/$BG159</f>
        <v>#DIV/0!</v>
      </c>
      <c r="BP159" s="25"/>
      <c r="BQ159" s="58" t="e">
        <f t="shared" ref="BQ159" si="1764">BP159/$BG159</f>
        <v>#DIV/0!</v>
      </c>
      <c r="BR159" s="25"/>
      <c r="BS159" s="58" t="e">
        <f t="shared" ref="BS159" si="1765">BR159/$BG159</f>
        <v>#DIV/0!</v>
      </c>
      <c r="BT159" s="25"/>
      <c r="BU159" s="58" t="e">
        <f t="shared" ref="BU159" si="1766">BT159/$BG159</f>
        <v>#DIV/0!</v>
      </c>
      <c r="BV159" s="25"/>
      <c r="BW159" s="58" t="e">
        <f t="shared" ref="BW159" si="1767">BV159/$BG159</f>
        <v>#DIV/0!</v>
      </c>
      <c r="BX159" s="25"/>
      <c r="BY159" s="58" t="e">
        <f t="shared" ref="BY159" si="1768">BX159/$BG159</f>
        <v>#DIV/0!</v>
      </c>
      <c r="BZ159" s="25"/>
      <c r="CA159" s="58" t="e">
        <f t="shared" ref="CA159" si="1769">BZ159/$BG159</f>
        <v>#DIV/0!</v>
      </c>
      <c r="CB159" s="25"/>
      <c r="CC159" s="58" t="e">
        <f t="shared" ref="CC159" si="1770">CB159/$BG159</f>
        <v>#DIV/0!</v>
      </c>
      <c r="CD159" s="25"/>
      <c r="CE159" s="58" t="e">
        <f t="shared" ref="CE159" si="1771">CD159/$BG159</f>
        <v>#DIV/0!</v>
      </c>
      <c r="CF159" s="25">
        <f t="shared" si="1739"/>
        <v>0</v>
      </c>
      <c r="CG159" s="58">
        <v>0</v>
      </c>
    </row>
    <row r="160" spans="1:86" ht="15.75" x14ac:dyDescent="0.25">
      <c r="A160" s="44" t="s">
        <v>114</v>
      </c>
      <c r="B160" s="25">
        <v>1851.0607500000001</v>
      </c>
      <c r="C160" s="26">
        <v>1021.85</v>
      </c>
      <c r="D160" s="26">
        <v>1362.4666666666667</v>
      </c>
      <c r="E160" s="25">
        <v>1430.5900000000001</v>
      </c>
      <c r="F160" s="25">
        <f t="shared" si="1184"/>
        <v>119.21583333333335</v>
      </c>
      <c r="G160" s="25">
        <v>162.88999999999999</v>
      </c>
      <c r="H160" s="58">
        <f t="shared" si="1622"/>
        <v>1.3663453540147767</v>
      </c>
      <c r="I160" s="25">
        <f>135.82</f>
        <v>135.82</v>
      </c>
      <c r="J160" s="58">
        <f t="shared" si="1623"/>
        <v>1.1392781999035362</v>
      </c>
      <c r="K160" s="25"/>
      <c r="L160" s="58">
        <f t="shared" si="1624"/>
        <v>0</v>
      </c>
      <c r="M160" s="25">
        <v>139.16999999999999</v>
      </c>
      <c r="N160" s="58">
        <f t="shared" si="1625"/>
        <v>1.1673784941877126</v>
      </c>
      <c r="O160" s="64">
        <v>139.62</v>
      </c>
      <c r="P160" s="58">
        <f t="shared" si="1597"/>
        <v>1.1711531605840946</v>
      </c>
      <c r="Q160" s="64">
        <v>119.24</v>
      </c>
      <c r="R160" s="58">
        <f t="shared" si="1352"/>
        <v>1.0002027135657314</v>
      </c>
      <c r="S160" s="64">
        <f>111.62</f>
        <v>111.62</v>
      </c>
      <c r="T160" s="58">
        <f t="shared" si="1339"/>
        <v>0.93628502925366452</v>
      </c>
      <c r="U160" s="64">
        <v>93.72</v>
      </c>
      <c r="V160" s="58">
        <f t="shared" si="1340"/>
        <v>0.78613718815313949</v>
      </c>
      <c r="W160" s="64">
        <f>76.39</f>
        <v>76.39</v>
      </c>
      <c r="X160" s="58">
        <f t="shared" si="1683"/>
        <v>0.64077059115469837</v>
      </c>
      <c r="Y160" s="25">
        <f t="shared" si="1598"/>
        <v>978.47</v>
      </c>
      <c r="Z160" s="58">
        <f t="shared" si="1626"/>
        <v>0.68396256090144625</v>
      </c>
      <c r="AA160" s="109">
        <f t="shared" si="1599"/>
        <v>108.7188888888889</v>
      </c>
      <c r="AB160" s="110">
        <f>AA160*AC7</f>
        <v>113.06764444444445</v>
      </c>
      <c r="AD160" s="69">
        <f t="shared" si="1574"/>
        <v>1.04</v>
      </c>
      <c r="AG160" s="109">
        <v>65.819999999999993</v>
      </c>
      <c r="AH160" s="111">
        <f t="shared" si="1740"/>
        <v>0.58212939982437251</v>
      </c>
      <c r="AI160" s="109">
        <v>224.43</v>
      </c>
      <c r="AJ160" s="111">
        <f t="shared" ref="AJ160" si="1772">AI160/$AB160</f>
        <v>1.9849179763382547</v>
      </c>
      <c r="AK160" s="109"/>
      <c r="AL160" s="111">
        <f t="shared" si="1742"/>
        <v>0</v>
      </c>
      <c r="AM160" s="109">
        <v>35.89</v>
      </c>
      <c r="AN160" s="111">
        <f t="shared" si="1743"/>
        <v>0.31742060406710315</v>
      </c>
      <c r="AO160" s="109">
        <v>109.48</v>
      </c>
      <c r="AP160" s="111">
        <f t="shared" si="1744"/>
        <v>0.96826992848332283</v>
      </c>
      <c r="AQ160" s="109">
        <v>113.82</v>
      </c>
      <c r="AR160" s="111">
        <f t="shared" si="1745"/>
        <v>1.0066540305075977</v>
      </c>
      <c r="AS160" s="109">
        <v>139.09</v>
      </c>
      <c r="AT160" s="111">
        <f t="shared" si="1746"/>
        <v>1.2301485600360373</v>
      </c>
      <c r="AU160" s="109"/>
      <c r="AV160" s="111">
        <f t="shared" si="1747"/>
        <v>0</v>
      </c>
      <c r="AW160" s="109">
        <v>91.18</v>
      </c>
      <c r="AX160" s="111">
        <f t="shared" si="1748"/>
        <v>0.80641991303534322</v>
      </c>
      <c r="AY160" s="109"/>
      <c r="AZ160" s="111">
        <f t="shared" si="1749"/>
        <v>0</v>
      </c>
      <c r="BA160" s="109">
        <f t="shared" si="1527"/>
        <v>779.71</v>
      </c>
      <c r="BB160" s="111">
        <f t="shared" si="1528"/>
        <v>0.57466336769100268</v>
      </c>
      <c r="BC160" s="109">
        <f t="shared" si="1514"/>
        <v>86.634444444444455</v>
      </c>
      <c r="BD160" s="25">
        <f>AB160</f>
        <v>113.06764444444445</v>
      </c>
      <c r="BE160" s="25">
        <f t="shared" si="1515"/>
        <v>1356.8117333333334</v>
      </c>
      <c r="BF160" s="129">
        <f t="shared" si="1750"/>
        <v>1356.8117333333334</v>
      </c>
      <c r="BG160" s="139">
        <f t="shared" si="1499"/>
        <v>113.06764444444445</v>
      </c>
      <c r="BH160" s="109">
        <v>258.27999999999997</v>
      </c>
      <c r="BI160" s="111">
        <f t="shared" si="1500"/>
        <v>2.2842962836013205</v>
      </c>
      <c r="BJ160" s="109">
        <v>139.04</v>
      </c>
      <c r="BK160" s="111">
        <f t="shared" si="1500"/>
        <v>1.2297063468790757</v>
      </c>
      <c r="BL160" s="109"/>
      <c r="BM160" s="111">
        <f t="shared" ref="BM160" si="1773">BL160/$BG160</f>
        <v>0</v>
      </c>
      <c r="BN160" s="109">
        <v>157.44999999999999</v>
      </c>
      <c r="BO160" s="111">
        <f t="shared" ref="BO160" si="1774">BN160/$BG160</f>
        <v>1.3925292312723709</v>
      </c>
      <c r="BP160" s="109"/>
      <c r="BQ160" s="111">
        <f t="shared" ref="BQ160" si="1775">BP160/$BG160</f>
        <v>0</v>
      </c>
      <c r="BR160" s="109">
        <v>304.01</v>
      </c>
      <c r="BS160" s="111">
        <f t="shared" ref="BS160" si="1776">BR160/$BG160</f>
        <v>2.6887444369584852</v>
      </c>
      <c r="BT160" s="109">
        <v>314.86</v>
      </c>
      <c r="BU160" s="111">
        <f t="shared" ref="BU160" si="1777">BT160/$BG160</f>
        <v>2.7847046920191727</v>
      </c>
      <c r="BV160" s="109">
        <v>354.9</v>
      </c>
      <c r="BW160" s="111">
        <f t="shared" ref="BW160" si="1778">BV160/$BG160</f>
        <v>3.1388289881140961</v>
      </c>
      <c r="BX160" s="109">
        <v>431.88</v>
      </c>
      <c r="BY160" s="111">
        <f t="shared" ref="BY160" si="1779">BX160/$BG160</f>
        <v>3.8196603645723184</v>
      </c>
      <c r="BZ160" s="109">
        <v>426.43</v>
      </c>
      <c r="CA160" s="111">
        <f t="shared" ref="CA160" si="1780">BZ160/$BG160</f>
        <v>3.7714591304634943</v>
      </c>
      <c r="CB160" s="109"/>
      <c r="CC160" s="111">
        <f t="shared" ref="CC160" si="1781">CB160/$BG160</f>
        <v>0</v>
      </c>
      <c r="CD160" s="109"/>
      <c r="CE160" s="111">
        <f t="shared" ref="CE160" si="1782">CD160/$BG160</f>
        <v>0</v>
      </c>
      <c r="CF160" s="109">
        <f t="shared" si="1739"/>
        <v>2386.85</v>
      </c>
      <c r="CG160" s="111">
        <f t="shared" si="1561"/>
        <v>1.7591607894900279</v>
      </c>
    </row>
    <row r="161" spans="1:85" ht="15.75" x14ac:dyDescent="0.25">
      <c r="A161" s="41" t="s">
        <v>205</v>
      </c>
      <c r="AA161" s="112"/>
      <c r="AB161" s="112"/>
      <c r="AC161" s="112"/>
      <c r="AD161" s="112"/>
      <c r="AE161" s="112"/>
      <c r="AF161" s="112"/>
      <c r="AG161" s="112"/>
      <c r="AH161" s="112"/>
      <c r="AI161" s="112"/>
      <c r="AJ161" s="112"/>
      <c r="AK161" s="112"/>
      <c r="AL161" s="112"/>
      <c r="AM161" s="112"/>
      <c r="AN161" s="112"/>
      <c r="AO161" s="112"/>
      <c r="AP161" s="112"/>
      <c r="AQ161" s="112"/>
      <c r="AR161" s="112"/>
      <c r="AS161" s="112"/>
      <c r="AT161" s="112"/>
      <c r="AU161" s="112"/>
      <c r="AV161" s="112"/>
      <c r="AW161" s="112"/>
      <c r="AX161" s="112"/>
      <c r="AY161" s="112"/>
      <c r="AZ161" s="112"/>
      <c r="BA161" s="112"/>
      <c r="BB161" s="112"/>
      <c r="BC161" s="112"/>
      <c r="BD161" s="112"/>
      <c r="BE161" s="112"/>
      <c r="BF161" s="136">
        <v>60000</v>
      </c>
      <c r="BG161" s="136">
        <f t="shared" si="1499"/>
        <v>5000</v>
      </c>
      <c r="BH161" s="136">
        <v>0</v>
      </c>
      <c r="BI161" s="60">
        <f t="shared" si="1500"/>
        <v>0</v>
      </c>
      <c r="BJ161" s="136">
        <v>0</v>
      </c>
      <c r="BK161" s="60">
        <f t="shared" si="1500"/>
        <v>0</v>
      </c>
      <c r="BL161" s="136">
        <v>0</v>
      </c>
      <c r="BM161" s="60">
        <f t="shared" ref="BM161" si="1783">BL161/$BG161</f>
        <v>0</v>
      </c>
      <c r="BN161" s="136">
        <v>0</v>
      </c>
      <c r="BO161" s="60">
        <f t="shared" ref="BO161" si="1784">BN161/$BG161</f>
        <v>0</v>
      </c>
      <c r="BP161" s="136">
        <v>0</v>
      </c>
      <c r="BQ161" s="60">
        <f t="shared" ref="BQ161" si="1785">BP161/$BG161</f>
        <v>0</v>
      </c>
      <c r="BR161" s="136">
        <v>0</v>
      </c>
      <c r="BS161" s="60">
        <f t="shared" ref="BS161" si="1786">BR161/$BG161</f>
        <v>0</v>
      </c>
      <c r="BT161" s="136">
        <v>0</v>
      </c>
      <c r="BU161" s="60">
        <f t="shared" ref="BU161" si="1787">BT161/$BG161</f>
        <v>0</v>
      </c>
      <c r="BV161" s="136">
        <v>0</v>
      </c>
      <c r="BW161" s="60">
        <f t="shared" ref="BW161" si="1788">BV161/$BG161</f>
        <v>0</v>
      </c>
      <c r="BX161" s="136">
        <v>0</v>
      </c>
      <c r="BY161" s="60">
        <f t="shared" ref="BY161" si="1789">BX161/$BG161</f>
        <v>0</v>
      </c>
      <c r="BZ161" s="136">
        <v>0</v>
      </c>
      <c r="CA161" s="60">
        <f t="shared" ref="CA161" si="1790">BZ161/$BG161</f>
        <v>0</v>
      </c>
      <c r="CB161" s="136">
        <v>0</v>
      </c>
      <c r="CC161" s="60">
        <f t="shared" ref="CC161" si="1791">CB161/$BG161</f>
        <v>0</v>
      </c>
      <c r="CD161" s="136">
        <v>0</v>
      </c>
      <c r="CE161" s="60">
        <f t="shared" ref="CE161" si="1792">CD161/$BG161</f>
        <v>0</v>
      </c>
      <c r="CF161" s="136">
        <f>BH161+BJ161+BL161+BN161+BP161+BR161+BT161+BV161+BX161+BZ161+CB161+CD161</f>
        <v>0</v>
      </c>
      <c r="CG161" s="60">
        <f t="shared" si="1561"/>
        <v>0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workbookViewId="0">
      <selection activeCell="D16" sqref="D16"/>
    </sheetView>
  </sheetViews>
  <sheetFormatPr defaultRowHeight="15" x14ac:dyDescent="0.25"/>
  <cols>
    <col min="1" max="1" width="33" bestFit="1" customWidth="1"/>
    <col min="2" max="2" width="11.42578125" style="84" bestFit="1" customWidth="1"/>
    <col min="3" max="3" width="17.85546875" style="86" bestFit="1" customWidth="1"/>
    <col min="4" max="4" width="14" style="86" bestFit="1" customWidth="1"/>
    <col min="6" max="6" width="10.5703125" style="76" bestFit="1" customWidth="1"/>
    <col min="7" max="7" width="14.28515625" style="76" bestFit="1" customWidth="1"/>
    <col min="9" max="9" width="11.28515625" style="87" bestFit="1" customWidth="1"/>
    <col min="10" max="10" width="13.42578125" style="87" customWidth="1"/>
    <col min="11" max="11" width="13.85546875" bestFit="1" customWidth="1"/>
    <col min="12" max="12" width="11.28515625" bestFit="1" customWidth="1"/>
    <col min="13" max="13" width="12.28515625" bestFit="1" customWidth="1"/>
  </cols>
  <sheetData>
    <row r="1" spans="1:13" s="83" customFormat="1" x14ac:dyDescent="0.25">
      <c r="A1" s="83" t="s">
        <v>181</v>
      </c>
      <c r="B1" s="83" t="s">
        <v>182</v>
      </c>
      <c r="C1" s="85" t="s">
        <v>183</v>
      </c>
      <c r="D1" s="85" t="s">
        <v>164</v>
      </c>
      <c r="F1" s="91" t="s">
        <v>194</v>
      </c>
      <c r="G1" s="91" t="s">
        <v>164</v>
      </c>
      <c r="I1" s="85" t="s">
        <v>198</v>
      </c>
      <c r="J1" s="85" t="s">
        <v>200</v>
      </c>
      <c r="K1" s="83" t="s">
        <v>201</v>
      </c>
      <c r="L1" s="83" t="s">
        <v>202</v>
      </c>
    </row>
    <row r="2" spans="1:13" s="83" customFormat="1" x14ac:dyDescent="0.25">
      <c r="C2" s="85"/>
      <c r="D2" s="85"/>
      <c r="F2" s="91"/>
      <c r="G2" s="91"/>
      <c r="I2" s="85"/>
      <c r="J2" s="85"/>
    </row>
    <row r="3" spans="1:13" x14ac:dyDescent="0.25">
      <c r="A3" t="s">
        <v>184</v>
      </c>
      <c r="B3" s="84">
        <v>213</v>
      </c>
      <c r="C3" s="86">
        <v>602.12</v>
      </c>
      <c r="D3" s="86">
        <f>(C3*12)*B3</f>
        <v>1539018.7200000002</v>
      </c>
      <c r="F3" s="76">
        <v>110</v>
      </c>
      <c r="G3" s="76">
        <f t="shared" ref="G3:G8" si="0">(F3*B3)*12</f>
        <v>281160</v>
      </c>
    </row>
    <row r="4" spans="1:13" x14ac:dyDescent="0.25">
      <c r="A4" t="s">
        <v>229</v>
      </c>
      <c r="B4" s="84">
        <v>5</v>
      </c>
      <c r="C4" s="86">
        <v>507.15</v>
      </c>
      <c r="D4" s="86">
        <f>(C4*12)*B4</f>
        <v>30428.999999999996</v>
      </c>
      <c r="F4" s="76">
        <v>111</v>
      </c>
      <c r="G4" s="76">
        <f t="shared" si="0"/>
        <v>6660</v>
      </c>
    </row>
    <row r="5" spans="1:13" x14ac:dyDescent="0.25">
      <c r="A5" t="s">
        <v>185</v>
      </c>
      <c r="B5" s="84">
        <v>15</v>
      </c>
      <c r="C5" s="86">
        <v>301.06</v>
      </c>
      <c r="D5" s="86">
        <f t="shared" ref="D5:D8" si="1">(C5*12)*B5</f>
        <v>54190.8</v>
      </c>
      <c r="F5" s="76">
        <v>55</v>
      </c>
      <c r="G5" s="76">
        <f t="shared" si="0"/>
        <v>9900</v>
      </c>
    </row>
    <row r="6" spans="1:13" x14ac:dyDescent="0.25">
      <c r="A6" t="s">
        <v>191</v>
      </c>
      <c r="B6" s="84">
        <v>3</v>
      </c>
      <c r="C6" s="86">
        <v>421.48</v>
      </c>
      <c r="D6" s="86">
        <f t="shared" si="1"/>
        <v>15173.28</v>
      </c>
      <c r="F6" s="76">
        <v>77</v>
      </c>
      <c r="G6" s="76">
        <f t="shared" si="0"/>
        <v>2772</v>
      </c>
    </row>
    <row r="7" spans="1:13" x14ac:dyDescent="0.25">
      <c r="A7" t="s">
        <v>192</v>
      </c>
      <c r="B7" s="84">
        <v>1</v>
      </c>
      <c r="C7" s="86">
        <v>301.06</v>
      </c>
      <c r="D7" s="86">
        <f t="shared" si="1"/>
        <v>3612.7200000000003</v>
      </c>
      <c r="F7" s="76">
        <v>55</v>
      </c>
      <c r="G7" s="76">
        <f t="shared" si="0"/>
        <v>660</v>
      </c>
    </row>
    <row r="8" spans="1:13" x14ac:dyDescent="0.25">
      <c r="A8" t="s">
        <v>193</v>
      </c>
      <c r="B8" s="84">
        <v>4</v>
      </c>
      <c r="C8" s="86">
        <v>60.21</v>
      </c>
      <c r="D8" s="86">
        <f t="shared" si="1"/>
        <v>2890.08</v>
      </c>
      <c r="F8" s="76">
        <v>11</v>
      </c>
      <c r="G8" s="76">
        <f t="shared" si="0"/>
        <v>528</v>
      </c>
    </row>
    <row r="9" spans="1:13" x14ac:dyDescent="0.25">
      <c r="A9" t="s">
        <v>203</v>
      </c>
      <c r="B9" s="84">
        <v>73</v>
      </c>
      <c r="D9" s="86">
        <f t="shared" ref="D9:D11" si="2">(C9*12)*B9</f>
        <v>0</v>
      </c>
    </row>
    <row r="10" spans="1:13" x14ac:dyDescent="0.25">
      <c r="A10" t="s">
        <v>187</v>
      </c>
      <c r="B10" s="84">
        <v>0</v>
      </c>
      <c r="D10" s="86">
        <f t="shared" si="2"/>
        <v>0</v>
      </c>
    </row>
    <row r="11" spans="1:13" x14ac:dyDescent="0.25">
      <c r="A11" t="s">
        <v>188</v>
      </c>
      <c r="B11" s="84">
        <v>9</v>
      </c>
      <c r="D11" s="86">
        <f t="shared" si="2"/>
        <v>0</v>
      </c>
    </row>
    <row r="12" spans="1:13" x14ac:dyDescent="0.25">
      <c r="A12" t="s">
        <v>189</v>
      </c>
      <c r="B12" s="84">
        <v>4</v>
      </c>
      <c r="C12" s="86">
        <v>602.12</v>
      </c>
      <c r="D12" s="86">
        <f>(C12*6)*B12</f>
        <v>14450.880000000001</v>
      </c>
      <c r="F12" s="76">
        <v>110</v>
      </c>
      <c r="G12" s="76">
        <f>(F12*B12)*12</f>
        <v>5280</v>
      </c>
    </row>
    <row r="13" spans="1:13" x14ac:dyDescent="0.25">
      <c r="A13" t="s">
        <v>206</v>
      </c>
      <c r="B13" s="84">
        <v>5</v>
      </c>
      <c r="C13" s="86">
        <v>301.06</v>
      </c>
      <c r="D13" s="86">
        <f>(C13*6)*B13</f>
        <v>9031.8000000000011</v>
      </c>
      <c r="F13" s="76">
        <v>55</v>
      </c>
      <c r="G13" s="76">
        <f>(F13*B13)*12</f>
        <v>3300</v>
      </c>
      <c r="I13" s="87">
        <v>20000</v>
      </c>
      <c r="J13" s="87">
        <v>5000</v>
      </c>
      <c r="K13" s="87">
        <f>B13*I13</f>
        <v>100000</v>
      </c>
      <c r="L13" s="87">
        <f>B13*J13</f>
        <v>25000</v>
      </c>
      <c r="M13" s="87"/>
    </row>
    <row r="14" spans="1:13" x14ac:dyDescent="0.25">
      <c r="A14" t="s">
        <v>199</v>
      </c>
      <c r="B14" s="84">
        <v>5</v>
      </c>
      <c r="C14" s="86">
        <v>301.06</v>
      </c>
      <c r="D14" s="86">
        <f t="shared" ref="D14" si="3">(C14*6)*B14</f>
        <v>9031.8000000000011</v>
      </c>
      <c r="F14" s="76">
        <v>55</v>
      </c>
      <c r="G14" s="76">
        <f>(F14*B14)*12</f>
        <v>3300</v>
      </c>
      <c r="I14" s="87">
        <v>16000</v>
      </c>
      <c r="J14" s="87">
        <v>5000</v>
      </c>
      <c r="K14" s="87">
        <f>B14*I14</f>
        <v>80000</v>
      </c>
      <c r="L14" s="87">
        <f>B14*J14</f>
        <v>25000</v>
      </c>
      <c r="M14" s="87"/>
    </row>
    <row r="15" spans="1:13" x14ac:dyDescent="0.25">
      <c r="A15" t="s">
        <v>190</v>
      </c>
      <c r="B15" s="84">
        <v>-7</v>
      </c>
      <c r="C15" s="86">
        <v>301.06</v>
      </c>
      <c r="D15" s="86">
        <f>(C15*6)*B15</f>
        <v>-12644.52</v>
      </c>
      <c r="F15" s="76">
        <v>55</v>
      </c>
      <c r="G15" s="76">
        <f>(F15*B15)*12</f>
        <v>-4620</v>
      </c>
      <c r="K15" s="87">
        <f>SUM(K13:K14)</f>
        <v>180000</v>
      </c>
      <c r="L15" s="87">
        <f>SUM(L13:L14)</f>
        <v>50000</v>
      </c>
    </row>
    <row r="16" spans="1:13" x14ac:dyDescent="0.25">
      <c r="B16" s="84">
        <f>SUM(B3:B15)</f>
        <v>330</v>
      </c>
      <c r="C16" s="86" t="s">
        <v>171</v>
      </c>
      <c r="D16" s="86">
        <f>SUM(D3:D15)</f>
        <v>1665184.5600000003</v>
      </c>
    </row>
    <row r="19" spans="1:7" x14ac:dyDescent="0.25">
      <c r="A19" t="s">
        <v>186</v>
      </c>
      <c r="B19" s="84">
        <v>16</v>
      </c>
      <c r="C19" s="86">
        <v>301.06</v>
      </c>
      <c r="D19" s="86">
        <f>(C19*12)*B19</f>
        <v>57803.520000000004</v>
      </c>
      <c r="F19" s="76">
        <v>55</v>
      </c>
      <c r="G19" s="76">
        <f t="shared" ref="G19" si="4">(F19*B19)*12</f>
        <v>10560</v>
      </c>
    </row>
    <row r="20" spans="1:7" x14ac:dyDescent="0.25">
      <c r="G20" s="76">
        <f>SUM(G3:G19)</f>
        <v>319500</v>
      </c>
    </row>
    <row r="39" spans="1:4" x14ac:dyDescent="0.25">
      <c r="A39" t="s">
        <v>186</v>
      </c>
      <c r="B39" s="84">
        <v>14</v>
      </c>
      <c r="C39" s="86">
        <v>301.06</v>
      </c>
      <c r="D39" s="86">
        <f>(C39*12)*B39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F8" sqref="F8"/>
    </sheetView>
  </sheetViews>
  <sheetFormatPr defaultRowHeight="15" x14ac:dyDescent="0.25"/>
  <cols>
    <col min="1" max="1" width="13.28515625" bestFit="1" customWidth="1"/>
    <col min="2" max="2" width="10.28515625" style="87" bestFit="1" customWidth="1"/>
    <col min="3" max="3" width="9.140625" style="84"/>
    <col min="4" max="4" width="11.28515625" style="87" bestFit="1" customWidth="1"/>
    <col min="5" max="5" width="3.28515625" customWidth="1"/>
    <col min="6" max="6" width="20.5703125" bestFit="1" customWidth="1"/>
  </cols>
  <sheetData>
    <row r="1" spans="1:6" s="83" customFormat="1" x14ac:dyDescent="0.25">
      <c r="B1" s="85" t="s">
        <v>163</v>
      </c>
      <c r="C1" s="83" t="s">
        <v>197</v>
      </c>
      <c r="D1" s="85" t="s">
        <v>164</v>
      </c>
    </row>
    <row r="2" spans="1:6" s="83" customFormat="1" x14ac:dyDescent="0.25">
      <c r="A2" s="89" t="s">
        <v>223</v>
      </c>
      <c r="B2" s="90">
        <v>4000</v>
      </c>
      <c r="C2" s="88">
        <v>10</v>
      </c>
      <c r="D2" s="90">
        <f>C2*B2</f>
        <v>40000</v>
      </c>
      <c r="F2" t="s">
        <v>226</v>
      </c>
    </row>
    <row r="3" spans="1:6" x14ac:dyDescent="0.25">
      <c r="A3" t="s">
        <v>224</v>
      </c>
      <c r="B3" s="87">
        <v>2000</v>
      </c>
      <c r="C3" s="84">
        <v>2</v>
      </c>
      <c r="D3" s="90">
        <f t="shared" ref="D3:D5" si="0">C3*B3</f>
        <v>4000</v>
      </c>
      <c r="F3" t="s">
        <v>225</v>
      </c>
    </row>
    <row r="4" spans="1:6" x14ac:dyDescent="0.25">
      <c r="A4" t="s">
        <v>113</v>
      </c>
      <c r="B4" s="87">
        <v>2000</v>
      </c>
      <c r="C4" s="84">
        <v>12</v>
      </c>
      <c r="D4" s="90">
        <f t="shared" si="0"/>
        <v>24000</v>
      </c>
    </row>
    <row r="5" spans="1:6" x14ac:dyDescent="0.25">
      <c r="A5" t="s">
        <v>196</v>
      </c>
      <c r="B5" s="87">
        <v>950</v>
      </c>
      <c r="C5" s="84">
        <v>12</v>
      </c>
      <c r="D5" s="90">
        <f t="shared" si="0"/>
        <v>11400</v>
      </c>
    </row>
    <row r="6" spans="1:6" x14ac:dyDescent="0.25">
      <c r="D6" s="87">
        <f>SUM(D2:D5)</f>
        <v>79400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resumo</vt:lpstr>
      <vt:lpstr>Budget</vt:lpstr>
      <vt:lpstr>Mensalidades</vt:lpstr>
      <vt:lpstr>Concessionario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Irene</cp:lastModifiedBy>
  <dcterms:created xsi:type="dcterms:W3CDTF">2019-03-12T14:05:57Z</dcterms:created>
  <dcterms:modified xsi:type="dcterms:W3CDTF">2022-02-03T20:42:08Z</dcterms:modified>
</cp:coreProperties>
</file>